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ke Shaw\Desktop\My Documents\PYF\"/>
    </mc:Choice>
  </mc:AlternateContent>
  <xr:revisionPtr revIDLastSave="0" documentId="8_{261D0AA5-2D0E-40D0-8775-29D64928A0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ar" sheetId="1" r:id="rId1"/>
    <sheet name="Tides" sheetId="2" r:id="rId2"/>
  </sheets>
  <definedNames>
    <definedName name="_xlnm._FilterDatabase" localSheetId="0" hidden="1">Calendar!$A$2:$G$38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D8" i="2"/>
  <c r="D9" i="2"/>
  <c r="D11" i="2"/>
  <c r="D16" i="2"/>
  <c r="D17" i="2"/>
  <c r="D19" i="2"/>
  <c r="D24" i="2"/>
  <c r="D25" i="2"/>
  <c r="D27" i="2"/>
  <c r="D32" i="2"/>
  <c r="D33" i="2"/>
  <c r="D35" i="2"/>
  <c r="D40" i="2"/>
  <c r="D41" i="2"/>
  <c r="D43" i="2"/>
  <c r="D48" i="2"/>
  <c r="D49" i="2"/>
  <c r="D51" i="2"/>
  <c r="D56" i="2"/>
  <c r="D57" i="2"/>
  <c r="D59" i="2"/>
  <c r="D61" i="2"/>
  <c r="D64" i="2"/>
  <c r="D65" i="2"/>
  <c r="D67" i="2"/>
  <c r="C10" i="1" s="1"/>
  <c r="D69" i="2"/>
  <c r="D72" i="2"/>
  <c r="D73" i="2"/>
  <c r="D75" i="2"/>
  <c r="D77" i="2"/>
  <c r="D80" i="2"/>
  <c r="D81" i="2"/>
  <c r="C12" i="1" s="1"/>
  <c r="D83" i="2"/>
  <c r="D85" i="2"/>
  <c r="C15" i="1" s="1"/>
  <c r="D88" i="2"/>
  <c r="C16" i="1" s="1"/>
  <c r="D89" i="2"/>
  <c r="D91" i="2"/>
  <c r="C17" i="1" s="1"/>
  <c r="D93" i="2"/>
  <c r="D96" i="2"/>
  <c r="D97" i="2"/>
  <c r="D99" i="2"/>
  <c r="D101" i="2"/>
  <c r="D104" i="2"/>
  <c r="D105" i="2"/>
  <c r="D107" i="2"/>
  <c r="D109" i="2"/>
  <c r="C22" i="1" s="1"/>
  <c r="D112" i="2"/>
  <c r="D113" i="2"/>
  <c r="D115" i="2"/>
  <c r="D117" i="2"/>
  <c r="D120" i="2"/>
  <c r="D121" i="2"/>
  <c r="C24" i="1" s="1"/>
  <c r="D123" i="2"/>
  <c r="C25" i="1" s="1"/>
  <c r="D125" i="2"/>
  <c r="D128" i="2"/>
  <c r="D129" i="2"/>
  <c r="D131" i="2"/>
  <c r="D133" i="2"/>
  <c r="D136" i="2"/>
  <c r="D137" i="2"/>
  <c r="D139" i="2"/>
  <c r="D141" i="2"/>
  <c r="D144" i="2"/>
  <c r="D145" i="2"/>
  <c r="C29" i="1" s="1"/>
  <c r="D147" i="2"/>
  <c r="D149" i="2"/>
  <c r="D152" i="2"/>
  <c r="D153" i="2"/>
  <c r="D155" i="2"/>
  <c r="D157" i="2"/>
  <c r="D160" i="2"/>
  <c r="D161" i="2"/>
  <c r="D163" i="2"/>
  <c r="D165" i="2"/>
  <c r="C33" i="1" s="1"/>
  <c r="D168" i="2"/>
  <c r="D169" i="2"/>
  <c r="D171" i="2"/>
  <c r="D173" i="2"/>
  <c r="D176" i="2"/>
  <c r="D177" i="2"/>
  <c r="D179" i="2"/>
  <c r="C34" i="1" s="1"/>
  <c r="D181" i="2"/>
  <c r="D184" i="2"/>
  <c r="D185" i="2"/>
  <c r="D2" i="2"/>
  <c r="C4" i="1" s="1"/>
  <c r="E186" i="2"/>
  <c r="E178" i="2"/>
  <c r="E177" i="2"/>
  <c r="E176" i="2"/>
  <c r="E175" i="2"/>
  <c r="E174" i="2"/>
  <c r="E171" i="2"/>
  <c r="E163" i="2"/>
  <c r="E162" i="2"/>
  <c r="E161" i="2"/>
  <c r="E160" i="2"/>
  <c r="E159" i="2"/>
  <c r="E156" i="2"/>
  <c r="E149" i="2"/>
  <c r="E148" i="2"/>
  <c r="E147" i="2"/>
  <c r="E146" i="2"/>
  <c r="E145" i="2"/>
  <c r="E144" i="2"/>
  <c r="E141" i="2"/>
  <c r="E133" i="2"/>
  <c r="E132" i="2"/>
  <c r="E131" i="2"/>
  <c r="E130" i="2"/>
  <c r="E129" i="2"/>
  <c r="E127" i="2"/>
  <c r="E119" i="2"/>
  <c r="E118" i="2"/>
  <c r="E117" i="2"/>
  <c r="E116" i="2"/>
  <c r="E115" i="2"/>
  <c r="E114" i="2"/>
  <c r="E112" i="2"/>
  <c r="E103" i="2"/>
  <c r="E102" i="2"/>
  <c r="E101" i="2"/>
  <c r="E100" i="2"/>
  <c r="E98" i="2"/>
  <c r="E89" i="2"/>
  <c r="E88" i="2"/>
  <c r="E87" i="2"/>
  <c r="E86" i="2"/>
  <c r="E85" i="2"/>
  <c r="E82" i="2"/>
  <c r="E74" i="2"/>
  <c r="E73" i="2"/>
  <c r="E72" i="2"/>
  <c r="E71" i="2"/>
  <c r="E68" i="2"/>
  <c r="E60" i="2"/>
  <c r="E59" i="2"/>
  <c r="E58" i="2"/>
  <c r="E57" i="2"/>
  <c r="E56" i="2"/>
  <c r="E53" i="2"/>
  <c r="E45" i="2"/>
  <c r="E44" i="2"/>
  <c r="E43" i="2"/>
  <c r="E42" i="2"/>
  <c r="E41" i="2"/>
  <c r="E39" i="2"/>
  <c r="E29" i="2"/>
  <c r="E28" i="2"/>
  <c r="E27" i="2"/>
  <c r="E26" i="2"/>
  <c r="E25" i="2"/>
  <c r="E22" i="2"/>
  <c r="E14" i="2"/>
  <c r="E13" i="2"/>
  <c r="E12" i="2"/>
  <c r="E11" i="2"/>
  <c r="E10" i="2"/>
  <c r="E8" i="2"/>
  <c r="B186" i="2"/>
  <c r="D186" i="2" s="1"/>
  <c r="B185" i="2"/>
  <c r="B184" i="2"/>
  <c r="B183" i="2"/>
  <c r="D183" i="2" s="1"/>
  <c r="B182" i="2"/>
  <c r="D182" i="2" s="1"/>
  <c r="B181" i="2"/>
  <c r="B180" i="2"/>
  <c r="D180" i="2" s="1"/>
  <c r="C35" i="1" s="1"/>
  <c r="B179" i="2"/>
  <c r="B178" i="2"/>
  <c r="D178" i="2" s="1"/>
  <c r="B177" i="2"/>
  <c r="B176" i="2"/>
  <c r="B175" i="2"/>
  <c r="D175" i="2" s="1"/>
  <c r="B174" i="2"/>
  <c r="D174" i="2" s="1"/>
  <c r="B173" i="2"/>
  <c r="B172" i="2"/>
  <c r="D172" i="2" s="1"/>
  <c r="B171" i="2"/>
  <c r="B170" i="2"/>
  <c r="D170" i="2" s="1"/>
  <c r="B169" i="2"/>
  <c r="B168" i="2"/>
  <c r="B167" i="2"/>
  <c r="D167" i="2" s="1"/>
  <c r="B166" i="2"/>
  <c r="D166" i="2" s="1"/>
  <c r="B165" i="2"/>
  <c r="B164" i="2"/>
  <c r="D164" i="2" s="1"/>
  <c r="B163" i="2"/>
  <c r="B162" i="2"/>
  <c r="D162" i="2" s="1"/>
  <c r="B161" i="2"/>
  <c r="B160" i="2"/>
  <c r="B159" i="2"/>
  <c r="D159" i="2" s="1"/>
  <c r="B158" i="2"/>
  <c r="D158" i="2" s="1"/>
  <c r="B157" i="2"/>
  <c r="B156" i="2"/>
  <c r="D156" i="2" s="1"/>
  <c r="B155" i="2"/>
  <c r="B154" i="2"/>
  <c r="D154" i="2" s="1"/>
  <c r="B153" i="2"/>
  <c r="B152" i="2"/>
  <c r="B151" i="2"/>
  <c r="D151" i="2" s="1"/>
  <c r="B150" i="2"/>
  <c r="D150" i="2" s="1"/>
  <c r="B149" i="2"/>
  <c r="B148" i="2"/>
  <c r="D148" i="2" s="1"/>
  <c r="B147" i="2"/>
  <c r="B146" i="2"/>
  <c r="D146" i="2" s="1"/>
  <c r="B145" i="2"/>
  <c r="B144" i="2"/>
  <c r="B143" i="2"/>
  <c r="D143" i="2" s="1"/>
  <c r="B142" i="2"/>
  <c r="D142" i="2" s="1"/>
  <c r="B141" i="2"/>
  <c r="B140" i="2"/>
  <c r="D140" i="2" s="1"/>
  <c r="B139" i="2"/>
  <c r="B138" i="2"/>
  <c r="D138" i="2" s="1"/>
  <c r="C28" i="1" s="1"/>
  <c r="B137" i="2"/>
  <c r="B136" i="2"/>
  <c r="B135" i="2"/>
  <c r="D135" i="2" s="1"/>
  <c r="B134" i="2"/>
  <c r="D134" i="2" s="1"/>
  <c r="B133" i="2"/>
  <c r="B132" i="2"/>
  <c r="D132" i="2" s="1"/>
  <c r="B131" i="2"/>
  <c r="B130" i="2"/>
  <c r="D130" i="2" s="1"/>
  <c r="B129" i="2"/>
  <c r="B128" i="2"/>
  <c r="B127" i="2"/>
  <c r="D127" i="2" s="1"/>
  <c r="B126" i="2"/>
  <c r="D126" i="2" s="1"/>
  <c r="B125" i="2"/>
  <c r="B124" i="2"/>
  <c r="D124" i="2" s="1"/>
  <c r="B123" i="2"/>
  <c r="B122" i="2"/>
  <c r="D122" i="2" s="1"/>
  <c r="B121" i="2"/>
  <c r="B120" i="2"/>
  <c r="B119" i="2"/>
  <c r="D119" i="2" s="1"/>
  <c r="B118" i="2"/>
  <c r="D118" i="2" s="1"/>
  <c r="B117" i="2"/>
  <c r="B116" i="2"/>
  <c r="D116" i="2" s="1"/>
  <c r="C23" i="1" s="1"/>
  <c r="B115" i="2"/>
  <c r="B114" i="2"/>
  <c r="D114" i="2" s="1"/>
  <c r="B113" i="2"/>
  <c r="B112" i="2"/>
  <c r="B111" i="2"/>
  <c r="D111" i="2" s="1"/>
  <c r="B110" i="2"/>
  <c r="D110" i="2" s="1"/>
  <c r="B109" i="2"/>
  <c r="B108" i="2"/>
  <c r="D108" i="2" s="1"/>
  <c r="B107" i="2"/>
  <c r="B106" i="2"/>
  <c r="D106" i="2" s="1"/>
  <c r="B105" i="2"/>
  <c r="B104" i="2"/>
  <c r="B103" i="2"/>
  <c r="D103" i="2" s="1"/>
  <c r="C21" i="1" s="1"/>
  <c r="B102" i="2"/>
  <c r="D102" i="2" s="1"/>
  <c r="C20" i="1" s="1"/>
  <c r="B101" i="2"/>
  <c r="B100" i="2"/>
  <c r="D100" i="2" s="1"/>
  <c r="B99" i="2"/>
  <c r="B98" i="2"/>
  <c r="D98" i="2" s="1"/>
  <c r="C19" i="1" s="1"/>
  <c r="B97" i="2"/>
  <c r="B96" i="2"/>
  <c r="B95" i="2"/>
  <c r="D95" i="2" s="1"/>
  <c r="C18" i="1" s="1"/>
  <c r="B94" i="2"/>
  <c r="D94" i="2" s="1"/>
  <c r="B93" i="2"/>
  <c r="B92" i="2"/>
  <c r="D92" i="2" s="1"/>
  <c r="B91" i="2"/>
  <c r="B90" i="2"/>
  <c r="D90" i="2" s="1"/>
  <c r="B89" i="2"/>
  <c r="B88" i="2"/>
  <c r="B87" i="2"/>
  <c r="D87" i="2" s="1"/>
  <c r="B86" i="2"/>
  <c r="D86" i="2" s="1"/>
  <c r="B85" i="2"/>
  <c r="B84" i="2"/>
  <c r="D84" i="2" s="1"/>
  <c r="B83" i="2"/>
  <c r="B82" i="2"/>
  <c r="D82" i="2" s="1"/>
  <c r="C14" i="1" s="1"/>
  <c r="B81" i="2"/>
  <c r="B80" i="2"/>
  <c r="B79" i="2"/>
  <c r="D79" i="2" s="1"/>
  <c r="B78" i="2"/>
  <c r="D78" i="2" s="1"/>
  <c r="B77" i="2"/>
  <c r="B76" i="2"/>
  <c r="D76" i="2" s="1"/>
  <c r="B75" i="2"/>
  <c r="B74" i="2"/>
  <c r="D74" i="2" s="1"/>
  <c r="B73" i="2"/>
  <c r="B72" i="2"/>
  <c r="B71" i="2"/>
  <c r="D71" i="2" s="1"/>
  <c r="B70" i="2"/>
  <c r="D70" i="2" s="1"/>
  <c r="B69" i="2"/>
  <c r="B68" i="2"/>
  <c r="D68" i="2" s="1"/>
  <c r="B67" i="2"/>
  <c r="B66" i="2"/>
  <c r="D66" i="2" s="1"/>
  <c r="B65" i="2"/>
  <c r="B64" i="2"/>
  <c r="B63" i="2"/>
  <c r="D63" i="2" s="1"/>
  <c r="B62" i="2"/>
  <c r="D62" i="2" s="1"/>
  <c r="B61" i="2"/>
  <c r="B60" i="2"/>
  <c r="D60" i="2" s="1"/>
  <c r="B59" i="2"/>
  <c r="B58" i="2"/>
  <c r="D58" i="2" s="1"/>
  <c r="B57" i="2"/>
  <c r="B56" i="2"/>
  <c r="B55" i="2"/>
  <c r="D55" i="2" s="1"/>
  <c r="B54" i="2"/>
  <c r="D54" i="2" s="1"/>
  <c r="B53" i="2"/>
  <c r="D53" i="2" s="1"/>
  <c r="B52" i="2"/>
  <c r="D52" i="2" s="1"/>
  <c r="B51" i="2"/>
  <c r="B50" i="2"/>
  <c r="D50" i="2" s="1"/>
  <c r="B49" i="2"/>
  <c r="B48" i="2"/>
  <c r="B47" i="2"/>
  <c r="D47" i="2" s="1"/>
  <c r="B46" i="2"/>
  <c r="D46" i="2" s="1"/>
  <c r="B45" i="2"/>
  <c r="D45" i="2" s="1"/>
  <c r="B44" i="2"/>
  <c r="D44" i="2" s="1"/>
  <c r="B43" i="2"/>
  <c r="B42" i="2"/>
  <c r="D42" i="2" s="1"/>
  <c r="B41" i="2"/>
  <c r="B40" i="2"/>
  <c r="B39" i="2"/>
  <c r="D39" i="2" s="1"/>
  <c r="B38" i="2"/>
  <c r="D38" i="2" s="1"/>
  <c r="B37" i="2"/>
  <c r="D37" i="2" s="1"/>
  <c r="B36" i="2"/>
  <c r="D36" i="2" s="1"/>
  <c r="B35" i="2"/>
  <c r="B34" i="2"/>
  <c r="D34" i="2" s="1"/>
  <c r="B33" i="2"/>
  <c r="B32" i="2"/>
  <c r="B31" i="2"/>
  <c r="D31" i="2" s="1"/>
  <c r="B30" i="2"/>
  <c r="D30" i="2" s="1"/>
  <c r="C9" i="1" s="1"/>
  <c r="B29" i="2"/>
  <c r="D29" i="2" s="1"/>
  <c r="B28" i="2"/>
  <c r="D28" i="2" s="1"/>
  <c r="B27" i="2"/>
  <c r="B26" i="2"/>
  <c r="D26" i="2" s="1"/>
  <c r="B25" i="2"/>
  <c r="B24" i="2"/>
  <c r="B23" i="2"/>
  <c r="D23" i="2" s="1"/>
  <c r="B22" i="2"/>
  <c r="D22" i="2" s="1"/>
  <c r="B21" i="2"/>
  <c r="D21" i="2" s="1"/>
  <c r="B20" i="2"/>
  <c r="D20" i="2" s="1"/>
  <c r="B19" i="2"/>
  <c r="B18" i="2"/>
  <c r="D18" i="2" s="1"/>
  <c r="B17" i="2"/>
  <c r="B16" i="2"/>
  <c r="B15" i="2"/>
  <c r="D15" i="2" s="1"/>
  <c r="C8" i="1" s="1"/>
  <c r="B14" i="2"/>
  <c r="D14" i="2" s="1"/>
  <c r="B13" i="2"/>
  <c r="D13" i="2" s="1"/>
  <c r="B12" i="2"/>
  <c r="D12" i="2" s="1"/>
  <c r="B11" i="2"/>
  <c r="B10" i="2"/>
  <c r="D10" i="2" s="1"/>
  <c r="B9" i="2"/>
  <c r="B8" i="2"/>
  <c r="B7" i="2"/>
  <c r="D7" i="2" s="1"/>
  <c r="B6" i="2"/>
  <c r="D6" i="2" s="1"/>
  <c r="B5" i="2"/>
  <c r="D5" i="2" s="1"/>
  <c r="B4" i="2"/>
  <c r="D4" i="2" s="1"/>
  <c r="B3" i="2"/>
  <c r="C31" i="1" l="1"/>
  <c r="C30" i="1"/>
  <c r="C13" i="1"/>
  <c r="C32" i="1"/>
</calcChain>
</file>

<file path=xl/sharedStrings.xml><?xml version="1.0" encoding="utf-8"?>
<sst xmlns="http://schemas.openxmlformats.org/spreadsheetml/2006/main" count="150" uniqueCount="67">
  <si>
    <t>Title</t>
  </si>
  <si>
    <t>Description</t>
  </si>
  <si>
    <t>NYC Frostbite</t>
  </si>
  <si>
    <t>Sundays until 12th March</t>
  </si>
  <si>
    <t>PPSA Start of season regatta</t>
  </si>
  <si>
    <t>NYC/PHYC Spring Cruiser Series</t>
  </si>
  <si>
    <t>NYC Dinghy Spring Series</t>
  </si>
  <si>
    <t>Tuesdays until 26 Jun</t>
  </si>
  <si>
    <t>NYC Spring Regatta</t>
  </si>
  <si>
    <t>PHYC Passage Race (Tenby)</t>
  </si>
  <si>
    <t>Tenby Regatta</t>
  </si>
  <si>
    <t>Tenby Caldey Race</t>
  </si>
  <si>
    <t>NYC Marathon</t>
  </si>
  <si>
    <t>NYC Cruiser Week</t>
  </si>
  <si>
    <t>NYC/PHYC Summer Cruiser Series</t>
  </si>
  <si>
    <t>FBYC Regatta/ CYRC</t>
  </si>
  <si>
    <t>PHYC Cruiser Regatta</t>
  </si>
  <si>
    <t>PPSA Summer Series</t>
  </si>
  <si>
    <t>NYC Cruiser Regatta</t>
  </si>
  <si>
    <t>RS Aero 5/7 Nationals (Tenby)</t>
  </si>
  <si>
    <t>Dale Event</t>
  </si>
  <si>
    <t>NYC Autumn Regatta</t>
  </si>
  <si>
    <t>NYC/PHYC Cruiser Winter Series</t>
  </si>
  <si>
    <t>Milford Haven Tides BST</t>
  </si>
  <si>
    <t>HW MH</t>
  </si>
  <si>
    <t>Dale Regatta</t>
  </si>
  <si>
    <t>NBC Event</t>
  </si>
  <si>
    <t>PYC County Regatta</t>
  </si>
  <si>
    <t>Angle Regatta</t>
  </si>
  <si>
    <t>Tenby CYRC</t>
  </si>
  <si>
    <t>Run by Pembrokeshire Yacht Club</t>
  </si>
  <si>
    <t>Until</t>
  </si>
  <si>
    <t>Wednesdays until 14 June</t>
  </si>
  <si>
    <t>Training day Sat, CYRC Sunday</t>
  </si>
  <si>
    <t>Coppet Week</t>
  </si>
  <si>
    <t>BYS Championships</t>
  </si>
  <si>
    <t>British Youth Sailing championships, venue TBA</t>
  </si>
  <si>
    <t>Wednesdays until 23 Aug</t>
  </si>
  <si>
    <t>NYC Dinghy Summer Series</t>
  </si>
  <si>
    <t>PPSA Summer Regatta and CYRC</t>
  </si>
  <si>
    <t>Training on Sat, CYRC on Sun</t>
  </si>
  <si>
    <t>PYC Dinghy winter series</t>
  </si>
  <si>
    <t>TSC Winter Series (dinghies)</t>
  </si>
  <si>
    <t>PYC Boxing Day</t>
  </si>
  <si>
    <t/>
  </si>
  <si>
    <t>Date</t>
  </si>
  <si>
    <t>Newport Boat Club</t>
  </si>
  <si>
    <t>Sundays until 16th Dec</t>
  </si>
  <si>
    <t>Return on Sun</t>
  </si>
  <si>
    <t>Dinghy</t>
  </si>
  <si>
    <t>Cruiser</t>
  </si>
  <si>
    <t>Saturdays until 15th Dec</t>
  </si>
  <si>
    <t>PYF Events 2023</t>
  </si>
  <si>
    <t>Saundersfoot SC</t>
  </si>
  <si>
    <t>Thursday daytime</t>
  </si>
  <si>
    <t>ü</t>
  </si>
  <si>
    <t>Sundays until 21 May (6 races)</t>
  </si>
  <si>
    <t>PHYC Sunday Series</t>
  </si>
  <si>
    <t>Tenby Caldey Race (reserve date)</t>
  </si>
  <si>
    <t>PHYC Up River race</t>
  </si>
  <si>
    <t>Sun 8 Oct</t>
  </si>
  <si>
    <t>Sundays until Boxing Day</t>
  </si>
  <si>
    <t>Sat 10 June</t>
  </si>
  <si>
    <t>Lawrenny YC Regatta</t>
  </si>
  <si>
    <t xml:space="preserve">Sun Aug 6th </t>
  </si>
  <si>
    <t>Littlehaven regatta</t>
  </si>
  <si>
    <t>Sat Aug 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</si>
</sst>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\ mmm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Wingdings"/>
      <charset val="2"/>
    </font>
    <font>
      <sz val="12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2">
    <xf numFmtId="0" fontId="0" fillId="0" borderId="0" xfId="0"/>
    <xf numFmtId="20" fontId="0" fillId="0" borderId="0" xfId="0" applyNumberFormat="1"/>
    <xf numFmtId="15" fontId="0" fillId="0" borderId="0" xfId="0" applyNumberFormat="1"/>
    <xf numFmtId="165" fontId="0" fillId="0" borderId="0" xfId="0" applyNumberFormat="1" applyAlignment="1">
      <alignment horizontal="left" indent="1"/>
    </xf>
    <xf numFmtId="164" fontId="1" fillId="0" borderId="0" xfId="0" applyNumberFormat="1" applyFont="1" applyAlignment="1">
      <alignment horizontal="left" vertical="center"/>
    </xf>
    <xf numFmtId="2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20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20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20" fontId="3" fillId="0" borderId="0" xfId="0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zoomScaleNormal="100" workbookViewId="0">
      <pane xSplit="1" ySplit="2" topLeftCell="B8" activePane="bottomRight" state="frozen"/>
      <selection pane="topRight" activeCell="B1" sqref="B1"/>
      <selection pane="bottomLeft" activeCell="A3" sqref="A3"/>
      <selection pane="bottomRight" activeCell="C27" sqref="C27"/>
    </sheetView>
  </sheetViews>
  <sheetFormatPr defaultRowHeight="15.75" x14ac:dyDescent="0.25"/>
  <cols>
    <col min="1" max="1" width="15.42578125" style="13" customWidth="1"/>
    <col min="2" max="2" width="12.42578125" style="13" customWidth="1"/>
    <col min="3" max="3" width="14.7109375" style="12" customWidth="1"/>
    <col min="4" max="4" width="36.85546875" style="11" customWidth="1"/>
    <col min="5" max="5" width="8.140625" style="20" customWidth="1"/>
    <col min="6" max="6" width="9.140625" style="21" customWidth="1"/>
    <col min="7" max="7" width="46.28515625" style="11" bestFit="1" customWidth="1"/>
    <col min="8" max="16384" width="9.140625" style="11"/>
  </cols>
  <sheetData>
    <row r="1" spans="1:7" s="6" customFormat="1" ht="16.5" thickBot="1" x14ac:dyDescent="0.3">
      <c r="A1" s="4" t="s">
        <v>52</v>
      </c>
      <c r="B1" s="4"/>
      <c r="C1" s="5"/>
      <c r="E1" s="16"/>
      <c r="F1" s="17"/>
    </row>
    <row r="2" spans="1:7" s="6" customFormat="1" ht="16.5" thickBot="1" x14ac:dyDescent="0.3">
      <c r="A2" s="14" t="s">
        <v>45</v>
      </c>
      <c r="B2" s="14" t="s">
        <v>31</v>
      </c>
      <c r="C2" s="8" t="s">
        <v>24</v>
      </c>
      <c r="D2" s="15" t="s">
        <v>0</v>
      </c>
      <c r="E2" s="18" t="s">
        <v>49</v>
      </c>
      <c r="F2" s="18" t="s">
        <v>50</v>
      </c>
      <c r="G2" s="15" t="s">
        <v>1</v>
      </c>
    </row>
    <row r="3" spans="1:7" ht="16.5" thickBot="1" x14ac:dyDescent="0.3">
      <c r="A3" s="7">
        <v>44934</v>
      </c>
      <c r="B3" s="7" t="s">
        <v>44</v>
      </c>
      <c r="C3" s="10"/>
      <c r="D3" s="9" t="s">
        <v>2</v>
      </c>
      <c r="E3" s="19" t="s">
        <v>55</v>
      </c>
      <c r="F3" s="19" t="s">
        <v>44</v>
      </c>
      <c r="G3" s="9" t="s">
        <v>3</v>
      </c>
    </row>
    <row r="4" spans="1:7" ht="16.5" thickBot="1" x14ac:dyDescent="0.3">
      <c r="A4" s="7">
        <v>45017</v>
      </c>
      <c r="B4" s="7" t="s">
        <v>44</v>
      </c>
      <c r="C4" s="10" t="str">
        <f>VLOOKUP($A4,Tides!$A:$D,4,FALSE)</f>
        <v>16:50 5.1m</v>
      </c>
      <c r="D4" s="9" t="s">
        <v>4</v>
      </c>
      <c r="E4" s="19" t="s">
        <v>55</v>
      </c>
      <c r="F4" s="19" t="s">
        <v>44</v>
      </c>
      <c r="G4" s="9"/>
    </row>
    <row r="5" spans="1:7" ht="16.5" thickBot="1" x14ac:dyDescent="0.3">
      <c r="A5" s="7">
        <v>45028</v>
      </c>
      <c r="B5" s="7" t="s">
        <v>44</v>
      </c>
      <c r="C5" s="10"/>
      <c r="D5" s="9" t="s">
        <v>5</v>
      </c>
      <c r="E5" s="19" t="s">
        <v>44</v>
      </c>
      <c r="F5" s="19" t="s">
        <v>55</v>
      </c>
      <c r="G5" s="9" t="s">
        <v>32</v>
      </c>
    </row>
    <row r="6" spans="1:7" ht="16.5" thickBot="1" x14ac:dyDescent="0.3">
      <c r="A6" s="7">
        <v>45032</v>
      </c>
      <c r="B6" s="7"/>
      <c r="C6" s="10"/>
      <c r="D6" s="9" t="s">
        <v>57</v>
      </c>
      <c r="E6" s="19"/>
      <c r="F6" s="19" t="s">
        <v>55</v>
      </c>
      <c r="G6" s="9" t="s">
        <v>56</v>
      </c>
    </row>
    <row r="7" spans="1:7" ht="16.5" thickBot="1" x14ac:dyDescent="0.3">
      <c r="A7" s="7">
        <v>45034</v>
      </c>
      <c r="B7" s="7" t="s">
        <v>44</v>
      </c>
      <c r="C7" s="10"/>
      <c r="D7" s="9" t="s">
        <v>6</v>
      </c>
      <c r="E7" s="19" t="s">
        <v>55</v>
      </c>
      <c r="F7" s="19" t="s">
        <v>44</v>
      </c>
      <c r="G7" s="9" t="s">
        <v>7</v>
      </c>
    </row>
    <row r="8" spans="1:7" ht="16.5" thickBot="1" x14ac:dyDescent="0.3">
      <c r="A8" s="7">
        <v>45059</v>
      </c>
      <c r="B8" s="7">
        <v>45060</v>
      </c>
      <c r="C8" s="10" t="str">
        <f>VLOOKUP($A8,Tides!$A:$D,4,FALSE)</f>
        <v>13:40 5.3m</v>
      </c>
      <c r="D8" s="9" t="s">
        <v>8</v>
      </c>
      <c r="E8" s="19" t="s">
        <v>55</v>
      </c>
      <c r="F8" s="19" t="s">
        <v>44</v>
      </c>
      <c r="G8" s="9" t="s">
        <v>33</v>
      </c>
    </row>
    <row r="9" spans="1:7" ht="16.5" thickBot="1" x14ac:dyDescent="0.3">
      <c r="A9" s="7">
        <v>45074</v>
      </c>
      <c r="B9" s="7">
        <v>45079</v>
      </c>
      <c r="C9" s="10" t="str">
        <f>VLOOKUP($A9,Tides!$A:$D,4,FALSE)</f>
        <v>13:40 4.9m</v>
      </c>
      <c r="D9" s="9" t="s">
        <v>34</v>
      </c>
      <c r="E9" s="19" t="s">
        <v>55</v>
      </c>
      <c r="F9" s="19" t="s">
        <v>44</v>
      </c>
      <c r="G9" s="9" t="s">
        <v>53</v>
      </c>
    </row>
    <row r="10" spans="1:7" ht="16.5" thickBot="1" x14ac:dyDescent="0.3">
      <c r="A10" s="7">
        <v>45080</v>
      </c>
      <c r="B10" s="7" t="s">
        <v>44</v>
      </c>
      <c r="C10" s="10" t="str">
        <f>VLOOKUP($A10,Tides!$A:$D,4,FALSE)</f>
        <v>18:40 6.7m</v>
      </c>
      <c r="D10" s="9" t="s">
        <v>9</v>
      </c>
      <c r="E10" s="19" t="s">
        <v>44</v>
      </c>
      <c r="F10" s="19" t="s">
        <v>55</v>
      </c>
      <c r="G10" s="9" t="s">
        <v>48</v>
      </c>
    </row>
    <row r="11" spans="1:7" ht="16.5" thickBot="1" x14ac:dyDescent="0.3">
      <c r="A11" s="7" t="s">
        <v>62</v>
      </c>
      <c r="B11" s="7"/>
      <c r="C11" s="10"/>
      <c r="D11" s="9" t="s">
        <v>63</v>
      </c>
      <c r="E11" s="19"/>
      <c r="F11" s="19"/>
      <c r="G11" s="9"/>
    </row>
    <row r="12" spans="1:7" ht="16.5" thickBot="1" x14ac:dyDescent="0.3">
      <c r="A12" s="7">
        <v>45094</v>
      </c>
      <c r="B12" s="7">
        <v>45095</v>
      </c>
      <c r="C12" s="10" t="str">
        <f>VLOOKUP($A12,Tides!$A:$D,4,FALSE)</f>
        <v>18:50 6.4m</v>
      </c>
      <c r="D12" s="9" t="s">
        <v>35</v>
      </c>
      <c r="E12" s="19" t="s">
        <v>55</v>
      </c>
      <c r="F12" s="19" t="s">
        <v>44</v>
      </c>
      <c r="G12" s="9" t="s">
        <v>36</v>
      </c>
    </row>
    <row r="13" spans="1:7" ht="16.5" thickBot="1" x14ac:dyDescent="0.3">
      <c r="A13" s="7">
        <v>45094</v>
      </c>
      <c r="B13" s="7" t="s">
        <v>44</v>
      </c>
      <c r="C13" s="10" t="str">
        <f>VLOOKUP($A13,Tides!$A:$D,4,FALSE)</f>
        <v>18:50 6.4m</v>
      </c>
      <c r="D13" s="9" t="s">
        <v>10</v>
      </c>
      <c r="E13" s="19" t="s">
        <v>55</v>
      </c>
      <c r="F13" s="19" t="s">
        <v>44</v>
      </c>
      <c r="G13" s="9"/>
    </row>
    <row r="14" spans="1:7" ht="16.5" thickBot="1" x14ac:dyDescent="0.3">
      <c r="A14" s="7">
        <v>45095</v>
      </c>
      <c r="B14" s="7" t="s">
        <v>44</v>
      </c>
      <c r="C14" s="10" t="str">
        <f>VLOOKUP($A14,Tides!$A:$D,4,FALSE)</f>
        <v>07:00 6.3m</v>
      </c>
      <c r="D14" s="9" t="s">
        <v>11</v>
      </c>
      <c r="E14" s="19" t="s">
        <v>55</v>
      </c>
      <c r="F14" s="19" t="s">
        <v>44</v>
      </c>
      <c r="G14" s="9"/>
    </row>
    <row r="15" spans="1:7" ht="16.5" thickBot="1" x14ac:dyDescent="0.3">
      <c r="A15" s="7">
        <v>45098</v>
      </c>
      <c r="B15" s="7" t="s">
        <v>44</v>
      </c>
      <c r="C15" s="10" t="str">
        <f>VLOOKUP($A15,Tides!$A:$D,4,FALSE)</f>
        <v>09:00 6.1m</v>
      </c>
      <c r="D15" s="9" t="s">
        <v>14</v>
      </c>
      <c r="E15" s="19" t="s">
        <v>44</v>
      </c>
      <c r="F15" s="19" t="s">
        <v>55</v>
      </c>
      <c r="G15" s="9" t="s">
        <v>37</v>
      </c>
    </row>
    <row r="16" spans="1:7" ht="16.5" thickBot="1" x14ac:dyDescent="0.3">
      <c r="A16" s="7">
        <v>45101</v>
      </c>
      <c r="B16" s="7" t="s">
        <v>44</v>
      </c>
      <c r="C16" s="10" t="str">
        <f>VLOOKUP($A16,Tides!$A:$D,4,FALSE)</f>
        <v>11:00 5.5m</v>
      </c>
      <c r="D16" s="9" t="s">
        <v>12</v>
      </c>
      <c r="E16" s="19" t="s">
        <v>55</v>
      </c>
      <c r="F16" s="19" t="s">
        <v>44</v>
      </c>
      <c r="G16" s="9"/>
    </row>
    <row r="17" spans="1:7" ht="16.5" thickBot="1" x14ac:dyDescent="0.3">
      <c r="A17" s="7">
        <v>45104</v>
      </c>
      <c r="B17" s="7">
        <v>45107</v>
      </c>
      <c r="C17" s="10" t="str">
        <f>VLOOKUP($A17,Tides!$A:$D,4,FALSE)</f>
        <v>13:30 5.2m</v>
      </c>
      <c r="D17" s="9" t="s">
        <v>13</v>
      </c>
      <c r="E17" s="19" t="s">
        <v>44</v>
      </c>
      <c r="F17" s="19" t="s">
        <v>55</v>
      </c>
      <c r="G17" s="9"/>
    </row>
    <row r="18" spans="1:7" ht="16.5" thickBot="1" x14ac:dyDescent="0.3">
      <c r="A18" s="7">
        <v>45108</v>
      </c>
      <c r="B18" s="7"/>
      <c r="C18" s="10" t="str">
        <f>VLOOKUP($A18,Tides!$A:$D,4,FALSE)</f>
        <v>17:30 6.1m</v>
      </c>
      <c r="D18" s="9" t="s">
        <v>58</v>
      </c>
      <c r="E18" s="19"/>
      <c r="F18" s="19" t="s">
        <v>55</v>
      </c>
      <c r="G18" s="9"/>
    </row>
    <row r="19" spans="1:7" ht="16.5" thickBot="1" x14ac:dyDescent="0.3">
      <c r="A19" s="7">
        <v>45111</v>
      </c>
      <c r="B19" s="7" t="s">
        <v>44</v>
      </c>
      <c r="C19" s="10" t="str">
        <f>VLOOKUP($A19,Tides!$A:$D,4,FALSE)</f>
        <v>07:30 6.7m</v>
      </c>
      <c r="D19" s="9" t="s">
        <v>38</v>
      </c>
      <c r="E19" s="19" t="s">
        <v>55</v>
      </c>
      <c r="F19" s="19" t="s">
        <v>44</v>
      </c>
      <c r="G19" s="9"/>
    </row>
    <row r="20" spans="1:7" ht="16.5" thickBot="1" x14ac:dyDescent="0.3">
      <c r="A20" s="7">
        <v>45115</v>
      </c>
      <c r="B20" s="7" t="s">
        <v>44</v>
      </c>
      <c r="C20" s="10" t="str">
        <f>VLOOKUP($A20,Tides!$A:$D,4,FALSE)</f>
        <v>10:50 6.3m</v>
      </c>
      <c r="D20" s="9" t="s">
        <v>15</v>
      </c>
      <c r="E20" s="19" t="s">
        <v>55</v>
      </c>
      <c r="F20" s="19" t="s">
        <v>44</v>
      </c>
      <c r="G20" s="9"/>
    </row>
    <row r="21" spans="1:7" ht="16.5" thickBot="1" x14ac:dyDescent="0.3">
      <c r="A21" s="7">
        <v>45116</v>
      </c>
      <c r="B21" s="7" t="s">
        <v>44</v>
      </c>
      <c r="C21" s="10" t="str">
        <f>VLOOKUP($A21,Tides!$A:$D,4,FALSE)</f>
        <v>11:40 6.0m</v>
      </c>
      <c r="D21" s="9" t="s">
        <v>26</v>
      </c>
      <c r="E21" s="19" t="s">
        <v>55</v>
      </c>
      <c r="F21" s="19" t="s">
        <v>44</v>
      </c>
      <c r="G21" s="9" t="s">
        <v>46</v>
      </c>
    </row>
    <row r="22" spans="1:7" ht="16.5" thickBot="1" x14ac:dyDescent="0.3">
      <c r="A22" s="7">
        <v>45122</v>
      </c>
      <c r="B22" s="7" t="s">
        <v>44</v>
      </c>
      <c r="C22" s="10" t="str">
        <f>VLOOKUP($A22,Tides!$A:$D,4,FALSE)</f>
        <v>17:50 5.7m</v>
      </c>
      <c r="D22" s="9" t="s">
        <v>16</v>
      </c>
      <c r="E22" s="19" t="s">
        <v>44</v>
      </c>
      <c r="F22" s="19" t="s">
        <v>55</v>
      </c>
      <c r="G22" s="9"/>
    </row>
    <row r="23" spans="1:7" ht="16.5" thickBot="1" x14ac:dyDescent="0.3">
      <c r="A23" s="7">
        <v>45129</v>
      </c>
      <c r="B23" s="7">
        <v>45130</v>
      </c>
      <c r="C23" s="10" t="str">
        <f>VLOOKUP($A23,Tides!$A:$D,4,FALSE)</f>
        <v>09:50 6.0m</v>
      </c>
      <c r="D23" s="9" t="s">
        <v>39</v>
      </c>
      <c r="E23" s="19" t="s">
        <v>55</v>
      </c>
      <c r="F23" s="19" t="s">
        <v>44</v>
      </c>
      <c r="G23" s="9"/>
    </row>
    <row r="24" spans="1:7" ht="16.5" thickBot="1" x14ac:dyDescent="0.3">
      <c r="A24" s="7">
        <v>45134</v>
      </c>
      <c r="B24" s="7" t="s">
        <v>44</v>
      </c>
      <c r="C24" s="10" t="str">
        <f>VLOOKUP($A24,Tides!$A:$D,4,FALSE)</f>
        <v>13:30 5.2m</v>
      </c>
      <c r="D24" s="9" t="s">
        <v>17</v>
      </c>
      <c r="E24" s="19" t="s">
        <v>55</v>
      </c>
      <c r="F24" s="19" t="s">
        <v>44</v>
      </c>
      <c r="G24" s="9" t="s">
        <v>54</v>
      </c>
    </row>
    <row r="25" spans="1:7" ht="16.5" thickBot="1" x14ac:dyDescent="0.3">
      <c r="A25" s="7">
        <v>45136</v>
      </c>
      <c r="B25" s="7">
        <v>45137</v>
      </c>
      <c r="C25" s="10" t="str">
        <f>VLOOKUP($A25,Tides!$A:$D,4,FALSE)</f>
        <v>16:00 5.5m</v>
      </c>
      <c r="D25" s="9" t="s">
        <v>27</v>
      </c>
      <c r="E25" s="19" t="s">
        <v>55</v>
      </c>
      <c r="F25" s="19" t="s">
        <v>55</v>
      </c>
      <c r="G25" s="9"/>
    </row>
    <row r="26" spans="1:7" ht="16.5" thickBot="1" x14ac:dyDescent="0.3">
      <c r="A26" s="7" t="s">
        <v>64</v>
      </c>
      <c r="B26" s="7"/>
      <c r="C26" s="10"/>
      <c r="D26" s="9" t="s">
        <v>65</v>
      </c>
      <c r="E26" s="19"/>
      <c r="F26" s="19"/>
      <c r="G26" s="9"/>
    </row>
    <row r="27" spans="1:7" ht="16.5" thickBot="1" x14ac:dyDescent="0.3">
      <c r="A27" s="7" t="s">
        <v>66</v>
      </c>
      <c r="B27" s="7" t="s">
        <v>44</v>
      </c>
      <c r="C27" s="10"/>
      <c r="D27" s="9" t="s">
        <v>28</v>
      </c>
      <c r="E27" s="19" t="s">
        <v>44</v>
      </c>
      <c r="F27" s="19" t="s">
        <v>55</v>
      </c>
      <c r="G27" s="9" t="s">
        <v>30</v>
      </c>
    </row>
    <row r="28" spans="1:7" ht="16.5" thickBot="1" x14ac:dyDescent="0.3">
      <c r="A28" s="7">
        <v>45151</v>
      </c>
      <c r="B28" s="7" t="s">
        <v>44</v>
      </c>
      <c r="C28" s="10" t="str">
        <f>VLOOKUP($A28,Tides!$A:$D,4,FALSE)</f>
        <v>17:40 5.4m</v>
      </c>
      <c r="D28" s="9" t="s">
        <v>25</v>
      </c>
      <c r="E28" s="19" t="s">
        <v>55</v>
      </c>
      <c r="F28" s="19" t="s">
        <v>44</v>
      </c>
      <c r="G28" s="9"/>
    </row>
    <row r="29" spans="1:7" ht="16.5" thickBot="1" x14ac:dyDescent="0.3">
      <c r="A29" s="7">
        <v>45158</v>
      </c>
      <c r="B29" s="7">
        <v>45163</v>
      </c>
      <c r="C29" s="10" t="str">
        <f>VLOOKUP($A29,Tides!$A:$D,4,FALSE)</f>
        <v>09:20 6.3m</v>
      </c>
      <c r="D29" s="9" t="s">
        <v>19</v>
      </c>
      <c r="E29" s="19" t="s">
        <v>55</v>
      </c>
      <c r="F29" s="19" t="s">
        <v>44</v>
      </c>
      <c r="G29" s="9"/>
    </row>
    <row r="30" spans="1:7" ht="16.5" thickBot="1" x14ac:dyDescent="0.3">
      <c r="A30" s="7">
        <v>45164</v>
      </c>
      <c r="B30" s="7">
        <v>45166</v>
      </c>
      <c r="C30" s="10" t="str">
        <f>VLOOKUP($A30,Tides!$A:$D,4,FALSE)</f>
        <v>14:10 5.1m</v>
      </c>
      <c r="D30" s="9" t="s">
        <v>20</v>
      </c>
      <c r="E30" s="19" t="s">
        <v>55</v>
      </c>
      <c r="F30" s="19" t="s">
        <v>44</v>
      </c>
      <c r="G30" s="9"/>
    </row>
    <row r="31" spans="1:7" ht="16.5" thickBot="1" x14ac:dyDescent="0.3">
      <c r="A31" s="7">
        <v>45164</v>
      </c>
      <c r="B31" s="7">
        <v>45165</v>
      </c>
      <c r="C31" s="10" t="str">
        <f>VLOOKUP($A31,Tides!$A:$D,4,FALSE)</f>
        <v>14:10 5.1m</v>
      </c>
      <c r="D31" s="9" t="s">
        <v>18</v>
      </c>
      <c r="E31" s="19" t="s">
        <v>44</v>
      </c>
      <c r="F31" s="19" t="s">
        <v>55</v>
      </c>
      <c r="G31" s="9"/>
    </row>
    <row r="32" spans="1:7" ht="16.5" thickBot="1" x14ac:dyDescent="0.3">
      <c r="A32" s="7">
        <v>45178</v>
      </c>
      <c r="B32" s="7">
        <v>45179</v>
      </c>
      <c r="C32" s="10" t="str">
        <f>VLOOKUP($A32,Tides!$A:$D,4,FALSE)</f>
        <v>15:10 4.8m</v>
      </c>
      <c r="D32" s="9" t="s">
        <v>21</v>
      </c>
      <c r="E32" s="19" t="s">
        <v>55</v>
      </c>
      <c r="F32" s="19" t="s">
        <v>44</v>
      </c>
      <c r="G32" s="9"/>
    </row>
    <row r="33" spans="1:7" ht="16.5" thickBot="1" x14ac:dyDescent="0.3">
      <c r="A33" s="7">
        <v>45178</v>
      </c>
      <c r="B33" s="7">
        <v>45179</v>
      </c>
      <c r="C33" s="10" t="str">
        <f>VLOOKUP($A33,Tides!$A:$D,4,FALSE)</f>
        <v>15:10 4.8m</v>
      </c>
      <c r="D33" s="9" t="s">
        <v>29</v>
      </c>
      <c r="E33" s="19" t="s">
        <v>55</v>
      </c>
      <c r="F33" s="19" t="s">
        <v>44</v>
      </c>
      <c r="G33" s="9" t="s">
        <v>40</v>
      </c>
    </row>
    <row r="34" spans="1:7" ht="16.5" thickBot="1" x14ac:dyDescent="0.3">
      <c r="A34" s="7">
        <v>45192</v>
      </c>
      <c r="B34" s="7"/>
      <c r="C34" s="10" t="str">
        <f>VLOOKUP($A34,Tides!$A:$D,4,FALSE)</f>
        <v>12:20 5.3m</v>
      </c>
      <c r="D34" s="9" t="s">
        <v>59</v>
      </c>
      <c r="E34" s="19"/>
      <c r="F34" s="19" t="s">
        <v>55</v>
      </c>
      <c r="G34" s="9"/>
    </row>
    <row r="35" spans="1:7" ht="16.5" thickBot="1" x14ac:dyDescent="0.3">
      <c r="A35" s="7">
        <v>45193</v>
      </c>
      <c r="B35" s="7" t="s">
        <v>44</v>
      </c>
      <c r="C35" s="10" t="str">
        <f>VLOOKUP($A35,Tides!$A:$D,4,FALSE)</f>
        <v>14:00 5.2m</v>
      </c>
      <c r="D35" s="9" t="s">
        <v>22</v>
      </c>
      <c r="E35" s="19" t="s">
        <v>44</v>
      </c>
      <c r="F35" s="19" t="s">
        <v>55</v>
      </c>
      <c r="G35" s="9" t="s">
        <v>47</v>
      </c>
    </row>
    <row r="36" spans="1:7" ht="16.5" thickBot="1" x14ac:dyDescent="0.3">
      <c r="A36" s="7">
        <v>45206</v>
      </c>
      <c r="B36" s="7" t="s">
        <v>44</v>
      </c>
      <c r="C36" s="10"/>
      <c r="D36" s="9" t="s">
        <v>41</v>
      </c>
      <c r="E36" s="19" t="s">
        <v>55</v>
      </c>
      <c r="F36" s="19" t="s">
        <v>44</v>
      </c>
      <c r="G36" s="9" t="s">
        <v>51</v>
      </c>
    </row>
    <row r="37" spans="1:7" ht="16.5" thickBot="1" x14ac:dyDescent="0.3">
      <c r="A37" s="7" t="s">
        <v>60</v>
      </c>
      <c r="B37" s="7" t="s">
        <v>44</v>
      </c>
      <c r="C37" s="10"/>
      <c r="D37" s="9" t="s">
        <v>42</v>
      </c>
      <c r="E37" s="19" t="s">
        <v>55</v>
      </c>
      <c r="F37" s="19" t="s">
        <v>44</v>
      </c>
      <c r="G37" s="9" t="s">
        <v>61</v>
      </c>
    </row>
    <row r="38" spans="1:7" ht="16.5" thickBot="1" x14ac:dyDescent="0.3">
      <c r="A38" s="7">
        <v>45286</v>
      </c>
      <c r="B38" s="7" t="s">
        <v>44</v>
      </c>
      <c r="C38" s="10"/>
      <c r="D38" s="9" t="s">
        <v>43</v>
      </c>
      <c r="E38" s="19" t="s">
        <v>55</v>
      </c>
      <c r="F38" s="19" t="s">
        <v>44</v>
      </c>
      <c r="G38" s="9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6"/>
  <sheetViews>
    <sheetView workbookViewId="0"/>
  </sheetViews>
  <sheetFormatPr defaultRowHeight="15" x14ac:dyDescent="0.25"/>
  <cols>
    <col min="1" max="1" width="10.7109375" bestFit="1" customWidth="1"/>
    <col min="3" max="3" width="9.140625" style="3"/>
    <col min="4" max="4" width="10.28515625" style="3" bestFit="1" customWidth="1"/>
    <col min="6" max="6" width="9.140625" style="3"/>
  </cols>
  <sheetData>
    <row r="1" spans="1:6" x14ac:dyDescent="0.25">
      <c r="A1" t="s">
        <v>23</v>
      </c>
    </row>
    <row r="2" spans="1:6" x14ac:dyDescent="0.25">
      <c r="A2" s="2">
        <v>45017</v>
      </c>
      <c r="B2" s="1">
        <v>0.70138888888888884</v>
      </c>
      <c r="C2" s="3">
        <v>5.0999999999999996</v>
      </c>
      <c r="D2" t="str">
        <f>TEXT(B2,"hh:mm") &amp; " " &amp; TEXT(C2,"0.0") &amp; "m"</f>
        <v>16:50 5.1m</v>
      </c>
    </row>
    <row r="3" spans="1:6" x14ac:dyDescent="0.25">
      <c r="A3" s="2">
        <v>45047</v>
      </c>
      <c r="B3" s="1">
        <f>0.659722222222222+(1/24)</f>
        <v>0.70138888888888862</v>
      </c>
      <c r="C3" s="3">
        <v>5.34</v>
      </c>
      <c r="D3" t="str">
        <f t="shared" ref="D3:D66" si="0">TEXT(B3,"hh:mm") &amp; " " &amp; TEXT(C3,"0.0") &amp; "m"</f>
        <v>16:50 5.3m</v>
      </c>
    </row>
    <row r="4" spans="1:6" x14ac:dyDescent="0.25">
      <c r="A4" s="2">
        <v>45048</v>
      </c>
      <c r="B4" s="1">
        <f>0.680555555555555+(1/24)</f>
        <v>0.72222222222222165</v>
      </c>
      <c r="C4" s="3">
        <v>5.78</v>
      </c>
      <c r="D4" t="str">
        <f t="shared" si="0"/>
        <v>17:20 5.8m</v>
      </c>
    </row>
    <row r="5" spans="1:6" x14ac:dyDescent="0.25">
      <c r="A5" s="2">
        <v>45049</v>
      </c>
      <c r="B5" s="1">
        <f>0.708333333333333+(1/24)</f>
        <v>0.74999999999999967</v>
      </c>
      <c r="C5" s="3">
        <v>6.16</v>
      </c>
      <c r="D5" t="str">
        <f t="shared" si="0"/>
        <v>18:00 6.2m</v>
      </c>
    </row>
    <row r="6" spans="1:6" x14ac:dyDescent="0.25">
      <c r="A6" s="2">
        <v>45050</v>
      </c>
      <c r="B6" s="1">
        <f>0.729166666666667+(1/24)</f>
        <v>0.77083333333333359</v>
      </c>
      <c r="C6" s="3">
        <v>6.54</v>
      </c>
      <c r="D6" t="str">
        <f t="shared" si="0"/>
        <v>18:30 6.5m</v>
      </c>
    </row>
    <row r="7" spans="1:6" x14ac:dyDescent="0.25">
      <c r="A7" s="2">
        <v>45051</v>
      </c>
      <c r="B7" s="1">
        <f>0.756944444444445+(1/24)</f>
        <v>0.7986111111111116</v>
      </c>
      <c r="C7" s="3">
        <v>6.81</v>
      </c>
      <c r="D7" t="str">
        <f t="shared" si="0"/>
        <v>19:10 6.8m</v>
      </c>
    </row>
    <row r="8" spans="1:6" x14ac:dyDescent="0.25">
      <c r="A8" s="2">
        <v>45052</v>
      </c>
      <c r="B8" s="1">
        <f>0.263888888888889+(1/24)</f>
        <v>0.30555555555555569</v>
      </c>
      <c r="C8" s="3">
        <v>6.98</v>
      </c>
      <c r="D8" t="str">
        <f t="shared" si="0"/>
        <v>07:20 7.0m</v>
      </c>
      <c r="E8" s="1">
        <f>0.777777777777778+(1/24)</f>
        <v>0.81944444444444464</v>
      </c>
      <c r="F8" s="3">
        <v>6.97</v>
      </c>
    </row>
    <row r="9" spans="1:6" x14ac:dyDescent="0.25">
      <c r="A9" s="2">
        <v>45053</v>
      </c>
      <c r="B9" s="1">
        <f>0.291666666666667+(1/24)</f>
        <v>0.3333333333333337</v>
      </c>
      <c r="C9" s="3">
        <v>7.01</v>
      </c>
      <c r="D9" t="str">
        <f t="shared" si="0"/>
        <v>08:00 7.0m</v>
      </c>
    </row>
    <row r="10" spans="1:6" x14ac:dyDescent="0.25">
      <c r="A10" s="2">
        <v>45054</v>
      </c>
      <c r="B10" s="1">
        <f>0.319444444444444+(1/24)</f>
        <v>0.36111111111111066</v>
      </c>
      <c r="C10" s="3">
        <v>6.88</v>
      </c>
      <c r="D10" t="str">
        <f t="shared" si="0"/>
        <v>08:40 6.9m</v>
      </c>
      <c r="E10" s="1">
        <f>0.833333333333333+(1/24)</f>
        <v>0.87499999999999967</v>
      </c>
      <c r="F10" s="3">
        <v>6.87</v>
      </c>
    </row>
    <row r="11" spans="1:6" x14ac:dyDescent="0.25">
      <c r="A11" s="2">
        <v>45055</v>
      </c>
      <c r="B11" s="1">
        <f>0.347222222222222+(1/24)</f>
        <v>0.38888888888888867</v>
      </c>
      <c r="C11" s="3">
        <v>6.61</v>
      </c>
      <c r="D11" t="str">
        <f t="shared" si="0"/>
        <v>09:20 6.6m</v>
      </c>
      <c r="E11" s="1">
        <f>0.861111111111111+(1/24)</f>
        <v>0.90277777777777768</v>
      </c>
      <c r="F11" s="3">
        <v>6.62</v>
      </c>
    </row>
    <row r="12" spans="1:6" x14ac:dyDescent="0.25">
      <c r="A12" s="2">
        <v>45056</v>
      </c>
      <c r="B12" s="1">
        <f>0.381944444444444+(1/24)</f>
        <v>0.42361111111111066</v>
      </c>
      <c r="C12" s="3">
        <v>6.21</v>
      </c>
      <c r="D12" t="str">
        <f t="shared" si="0"/>
        <v>10:10 6.2m</v>
      </c>
      <c r="E12" s="1">
        <f>0.902777777777778+(1/24)</f>
        <v>0.94444444444444464</v>
      </c>
      <c r="F12" s="3">
        <v>6.26</v>
      </c>
    </row>
    <row r="13" spans="1:6" x14ac:dyDescent="0.25">
      <c r="A13" s="2">
        <v>45057</v>
      </c>
      <c r="B13" s="1">
        <f>0.423611111111111+(1/24)</f>
        <v>0.46527777777777768</v>
      </c>
      <c r="C13" s="3">
        <v>5.79</v>
      </c>
      <c r="D13" t="str">
        <f t="shared" si="0"/>
        <v>11:10 5.8m</v>
      </c>
      <c r="E13" s="1">
        <f>0.944444444444445+(1/24)</f>
        <v>0.9861111111111116</v>
      </c>
      <c r="F13" s="3">
        <v>5.91</v>
      </c>
    </row>
    <row r="14" spans="1:6" x14ac:dyDescent="0.25">
      <c r="A14" s="2">
        <v>45058</v>
      </c>
      <c r="B14" s="1">
        <f>0.465277777777778+(1/24)</f>
        <v>0.50694444444444464</v>
      </c>
      <c r="C14" s="3">
        <v>5.45</v>
      </c>
      <c r="D14" t="str">
        <f t="shared" si="0"/>
        <v>12:10 5.5m</v>
      </c>
      <c r="E14" s="1">
        <f>0.993055555555555+(1/24)</f>
        <v>1.0347222222222217</v>
      </c>
      <c r="F14" s="3">
        <v>5.67</v>
      </c>
    </row>
    <row r="15" spans="1:6" x14ac:dyDescent="0.25">
      <c r="A15" s="2">
        <v>45059</v>
      </c>
      <c r="B15" s="1">
        <f>0.527777777777778+(1/24)</f>
        <v>0.56944444444444464</v>
      </c>
      <c r="C15" s="3">
        <v>5.3</v>
      </c>
      <c r="D15" t="str">
        <f t="shared" si="0"/>
        <v>13:40 5.3m</v>
      </c>
    </row>
    <row r="16" spans="1:6" x14ac:dyDescent="0.25">
      <c r="A16" s="2">
        <v>45060</v>
      </c>
      <c r="B16" s="1">
        <f>0.583333333333333+(1/24)</f>
        <v>0.62499999999999967</v>
      </c>
      <c r="C16" s="3">
        <v>5.44</v>
      </c>
      <c r="D16" t="str">
        <f t="shared" si="0"/>
        <v>15:00 5.4m</v>
      </c>
    </row>
    <row r="17" spans="1:6" x14ac:dyDescent="0.25">
      <c r="A17" s="2">
        <v>45061</v>
      </c>
      <c r="B17" s="1">
        <f>0.631944444444444+(1/24)</f>
        <v>0.67361111111111061</v>
      </c>
      <c r="C17" s="3">
        <v>5.8</v>
      </c>
      <c r="D17" t="str">
        <f t="shared" si="0"/>
        <v>16:10 5.8m</v>
      </c>
    </row>
    <row r="18" spans="1:6" x14ac:dyDescent="0.25">
      <c r="A18" s="2">
        <v>45062</v>
      </c>
      <c r="B18" s="1">
        <f>0.666666666666667+(1/24)</f>
        <v>0.70833333333333359</v>
      </c>
      <c r="C18" s="3">
        <v>6.15</v>
      </c>
      <c r="D18" t="str">
        <f t="shared" si="0"/>
        <v>17:00 6.2m</v>
      </c>
    </row>
    <row r="19" spans="1:6" x14ac:dyDescent="0.25">
      <c r="A19" s="2">
        <v>45063</v>
      </c>
      <c r="B19" s="1">
        <f>0.701388888888889+(1/24)</f>
        <v>0.74305555555555558</v>
      </c>
      <c r="C19" s="3">
        <v>6.46</v>
      </c>
      <c r="D19" t="str">
        <f t="shared" si="0"/>
        <v>17:50 6.5m</v>
      </c>
    </row>
    <row r="20" spans="1:6" x14ac:dyDescent="0.25">
      <c r="A20" s="2">
        <v>45064</v>
      </c>
      <c r="B20" s="1">
        <f>0.729166666666667+(1/24)</f>
        <v>0.77083333333333359</v>
      </c>
      <c r="C20" s="3">
        <v>6.7</v>
      </c>
      <c r="D20" t="str">
        <f t="shared" si="0"/>
        <v>18:30 6.7m</v>
      </c>
    </row>
    <row r="21" spans="1:6" x14ac:dyDescent="0.25">
      <c r="A21" s="2">
        <v>45065</v>
      </c>
      <c r="B21" s="1">
        <f>0.756944444444445+(1/24)</f>
        <v>0.7986111111111116</v>
      </c>
      <c r="C21" s="3">
        <v>6.81</v>
      </c>
      <c r="D21" t="str">
        <f t="shared" si="0"/>
        <v>19:10 6.8m</v>
      </c>
    </row>
    <row r="22" spans="1:6" x14ac:dyDescent="0.25">
      <c r="A22" s="2">
        <v>45066</v>
      </c>
      <c r="B22" s="1">
        <f>0.263888888888889+(1/24)</f>
        <v>0.30555555555555569</v>
      </c>
      <c r="C22" s="3">
        <v>6.8</v>
      </c>
      <c r="D22" t="str">
        <f t="shared" si="0"/>
        <v>07:20 6.8m</v>
      </c>
      <c r="E22" s="1">
        <f>0.777777777777778+(1/24)</f>
        <v>0.81944444444444464</v>
      </c>
      <c r="F22" s="3">
        <v>6.8</v>
      </c>
    </row>
    <row r="23" spans="1:6" x14ac:dyDescent="0.25">
      <c r="A23" s="2">
        <v>45067</v>
      </c>
      <c r="B23" s="1">
        <f>0.291666666666667+(1/24)</f>
        <v>0.3333333333333337</v>
      </c>
      <c r="C23" s="3">
        <v>6.67</v>
      </c>
      <c r="D23" t="str">
        <f t="shared" si="0"/>
        <v>08:00 6.7m</v>
      </c>
    </row>
    <row r="24" spans="1:6" x14ac:dyDescent="0.25">
      <c r="A24" s="2">
        <v>45068</v>
      </c>
      <c r="B24" s="1">
        <f>0.319444444444444+(1/24)</f>
        <v>0.36111111111111066</v>
      </c>
      <c r="C24" s="3">
        <v>6.44</v>
      </c>
      <c r="D24" t="str">
        <f t="shared" si="0"/>
        <v>08:40 6.4m</v>
      </c>
    </row>
    <row r="25" spans="1:6" x14ac:dyDescent="0.25">
      <c r="A25" s="2">
        <v>45069</v>
      </c>
      <c r="B25" s="1">
        <f>0.340277777777778+(1/24)</f>
        <v>0.3819444444444447</v>
      </c>
      <c r="C25" s="3">
        <v>6.15</v>
      </c>
      <c r="D25" t="str">
        <f t="shared" si="0"/>
        <v>09:10 6.2m</v>
      </c>
      <c r="E25" s="1">
        <f>0.854166666666667+(1/24)</f>
        <v>0.89583333333333359</v>
      </c>
      <c r="F25" s="3">
        <v>6.2</v>
      </c>
    </row>
    <row r="26" spans="1:6" x14ac:dyDescent="0.25">
      <c r="A26" s="2">
        <v>45070</v>
      </c>
      <c r="B26" s="1">
        <f>0.368055555555556+(1/24)</f>
        <v>0.40972222222222271</v>
      </c>
      <c r="C26" s="3">
        <v>5.81</v>
      </c>
      <c r="D26" t="str">
        <f t="shared" si="0"/>
        <v>09:50 5.8m</v>
      </c>
      <c r="E26" s="1">
        <f>0.881944444444445+(1/24)</f>
        <v>0.9236111111111116</v>
      </c>
      <c r="F26" s="3">
        <v>5.89</v>
      </c>
    </row>
    <row r="27" spans="1:6" x14ac:dyDescent="0.25">
      <c r="A27" s="2">
        <v>45071</v>
      </c>
      <c r="B27" s="1">
        <f>0.402777777777778+(1/24)</f>
        <v>0.4444444444444447</v>
      </c>
      <c r="C27" s="3">
        <v>5.46</v>
      </c>
      <c r="D27" t="str">
        <f t="shared" si="0"/>
        <v>10:40 5.5m</v>
      </c>
      <c r="E27" s="1">
        <f>0.916666666666667+(1/24)</f>
        <v>0.95833333333333359</v>
      </c>
      <c r="F27" s="3">
        <v>5.56</v>
      </c>
    </row>
    <row r="28" spans="1:6" x14ac:dyDescent="0.25">
      <c r="A28" s="2">
        <v>45072</v>
      </c>
      <c r="B28" s="1">
        <f>0.430555555555556+(1/24)</f>
        <v>0.47222222222222271</v>
      </c>
      <c r="C28" s="3">
        <v>5.17</v>
      </c>
      <c r="D28" t="str">
        <f t="shared" si="0"/>
        <v>11:20 5.2m</v>
      </c>
      <c r="E28" s="1">
        <f>0.951388888888889+(1/24)</f>
        <v>0.99305555555555558</v>
      </c>
      <c r="F28" s="3">
        <v>5.33</v>
      </c>
    </row>
    <row r="29" spans="1:6" x14ac:dyDescent="0.25">
      <c r="A29" s="2">
        <v>45073</v>
      </c>
      <c r="B29" s="1">
        <f>0.479166666666667+(1/24)</f>
        <v>0.5208333333333337</v>
      </c>
      <c r="C29" s="3">
        <v>4.96</v>
      </c>
      <c r="D29" t="str">
        <f t="shared" si="0"/>
        <v>12:30 5.0m</v>
      </c>
      <c r="E29" s="1">
        <f>0.993055555555555+(1/24)</f>
        <v>1.0347222222222217</v>
      </c>
      <c r="F29" s="3">
        <v>5.17</v>
      </c>
    </row>
    <row r="30" spans="1:6" x14ac:dyDescent="0.25">
      <c r="A30" s="2">
        <v>45074</v>
      </c>
      <c r="B30" s="1">
        <f>0.527777777777778+(1/24)</f>
        <v>0.56944444444444464</v>
      </c>
      <c r="C30" s="3">
        <v>4.8899999999999997</v>
      </c>
      <c r="D30" t="str">
        <f t="shared" si="0"/>
        <v>13:40 4.9m</v>
      </c>
    </row>
    <row r="31" spans="1:6" x14ac:dyDescent="0.25">
      <c r="A31" s="2">
        <v>45075</v>
      </c>
      <c r="B31" s="1">
        <f>0.569444444444444+(1/24)</f>
        <v>0.61111111111111061</v>
      </c>
      <c r="C31" s="3">
        <v>5</v>
      </c>
      <c r="D31" t="str">
        <f t="shared" si="0"/>
        <v>14:40 5.0m</v>
      </c>
    </row>
    <row r="32" spans="1:6" x14ac:dyDescent="0.25">
      <c r="A32" s="2">
        <v>45076</v>
      </c>
      <c r="B32" s="1">
        <f>0.611111111111111+(1/24)</f>
        <v>0.65277777777777768</v>
      </c>
      <c r="C32" s="3">
        <v>5.26</v>
      </c>
      <c r="D32" t="str">
        <f t="shared" si="0"/>
        <v>15:40 5.3m</v>
      </c>
    </row>
    <row r="33" spans="1:6" x14ac:dyDescent="0.25">
      <c r="A33" s="2">
        <v>45077</v>
      </c>
      <c r="B33" s="1">
        <f>0.645833333333333+(1/24)</f>
        <v>0.68749999999999967</v>
      </c>
      <c r="C33" s="3">
        <v>5.62</v>
      </c>
      <c r="D33" t="str">
        <f t="shared" si="0"/>
        <v>16:30 5.6m</v>
      </c>
    </row>
    <row r="34" spans="1:6" x14ac:dyDescent="0.25">
      <c r="A34" s="2">
        <v>45047</v>
      </c>
      <c r="B34" s="1">
        <f>0.659722222222222+(1/24)</f>
        <v>0.70138888888888862</v>
      </c>
      <c r="C34" s="3">
        <v>5.34</v>
      </c>
      <c r="D34" t="str">
        <f t="shared" si="0"/>
        <v>16:50 5.3m</v>
      </c>
    </row>
    <row r="35" spans="1:6" x14ac:dyDescent="0.25">
      <c r="A35" s="2">
        <v>45048</v>
      </c>
      <c r="B35" s="1">
        <f>0.680555555555555+(1/24)</f>
        <v>0.72222222222222165</v>
      </c>
      <c r="C35" s="3">
        <v>5.78</v>
      </c>
      <c r="D35" t="str">
        <f t="shared" si="0"/>
        <v>17:20 5.8m</v>
      </c>
    </row>
    <row r="36" spans="1:6" x14ac:dyDescent="0.25">
      <c r="A36" s="2">
        <v>45049</v>
      </c>
      <c r="B36" s="1">
        <f>0.708333333333333+(1/24)</f>
        <v>0.74999999999999967</v>
      </c>
      <c r="C36" s="3">
        <v>6.16</v>
      </c>
      <c r="D36" t="str">
        <f t="shared" si="0"/>
        <v>18:00 6.2m</v>
      </c>
    </row>
    <row r="37" spans="1:6" x14ac:dyDescent="0.25">
      <c r="A37" s="2">
        <v>45050</v>
      </c>
      <c r="B37" s="1">
        <f>0.729166666666667+(1/24)</f>
        <v>0.77083333333333359</v>
      </c>
      <c r="C37" s="3">
        <v>6.54</v>
      </c>
      <c r="D37" t="str">
        <f t="shared" si="0"/>
        <v>18:30 6.5m</v>
      </c>
    </row>
    <row r="38" spans="1:6" x14ac:dyDescent="0.25">
      <c r="A38" s="2">
        <v>45051</v>
      </c>
      <c r="B38" s="1">
        <f>0.756944444444445+(1/24)</f>
        <v>0.7986111111111116</v>
      </c>
      <c r="C38" s="3">
        <v>6.81</v>
      </c>
      <c r="D38" t="str">
        <f t="shared" si="0"/>
        <v>19:10 6.8m</v>
      </c>
    </row>
    <row r="39" spans="1:6" x14ac:dyDescent="0.25">
      <c r="A39" s="2">
        <v>45052</v>
      </c>
      <c r="B39" s="1">
        <f>0.263888888888889+(1/24)</f>
        <v>0.30555555555555569</v>
      </c>
      <c r="C39" s="3">
        <v>6.98</v>
      </c>
      <c r="D39" t="str">
        <f t="shared" si="0"/>
        <v>07:20 7.0m</v>
      </c>
      <c r="E39" s="1">
        <f>0.777777777777778+(1/24)</f>
        <v>0.81944444444444464</v>
      </c>
      <c r="F39" s="3">
        <v>6.97</v>
      </c>
    </row>
    <row r="40" spans="1:6" x14ac:dyDescent="0.25">
      <c r="A40" s="2">
        <v>45053</v>
      </c>
      <c r="B40" s="1">
        <f>0.291666666666667+(1/24)</f>
        <v>0.3333333333333337</v>
      </c>
      <c r="C40" s="3">
        <v>7.01</v>
      </c>
      <c r="D40" t="str">
        <f t="shared" si="0"/>
        <v>08:00 7.0m</v>
      </c>
    </row>
    <row r="41" spans="1:6" x14ac:dyDescent="0.25">
      <c r="A41" s="2">
        <v>45054</v>
      </c>
      <c r="B41" s="1">
        <f>0.319444444444444+(1/24)</f>
        <v>0.36111111111111066</v>
      </c>
      <c r="C41" s="3">
        <v>6.88</v>
      </c>
      <c r="D41" t="str">
        <f t="shared" si="0"/>
        <v>08:40 6.9m</v>
      </c>
      <c r="E41" s="1">
        <f>0.833333333333333+(1/24)</f>
        <v>0.87499999999999967</v>
      </c>
      <c r="F41" s="3">
        <v>6.87</v>
      </c>
    </row>
    <row r="42" spans="1:6" x14ac:dyDescent="0.25">
      <c r="A42" s="2">
        <v>45055</v>
      </c>
      <c r="B42" s="1">
        <f>0.347222222222222+(1/24)</f>
        <v>0.38888888888888867</v>
      </c>
      <c r="C42" s="3">
        <v>6.61</v>
      </c>
      <c r="D42" t="str">
        <f t="shared" si="0"/>
        <v>09:20 6.6m</v>
      </c>
      <c r="E42" s="1">
        <f>0.861111111111111+(1/24)</f>
        <v>0.90277777777777768</v>
      </c>
      <c r="F42" s="3">
        <v>6.62</v>
      </c>
    </row>
    <row r="43" spans="1:6" x14ac:dyDescent="0.25">
      <c r="A43" s="2">
        <v>45056</v>
      </c>
      <c r="B43" s="1">
        <f>0.381944444444444+(1/24)</f>
        <v>0.42361111111111066</v>
      </c>
      <c r="C43" s="3">
        <v>6.21</v>
      </c>
      <c r="D43" t="str">
        <f t="shared" si="0"/>
        <v>10:10 6.2m</v>
      </c>
      <c r="E43" s="1">
        <f>0.902777777777778+(1/24)</f>
        <v>0.94444444444444464</v>
      </c>
      <c r="F43" s="3">
        <v>6.26</v>
      </c>
    </row>
    <row r="44" spans="1:6" x14ac:dyDescent="0.25">
      <c r="A44" s="2">
        <v>45057</v>
      </c>
      <c r="B44" s="1">
        <f>0.423611111111111+(1/24)</f>
        <v>0.46527777777777768</v>
      </c>
      <c r="C44" s="3">
        <v>5.79</v>
      </c>
      <c r="D44" t="str">
        <f t="shared" si="0"/>
        <v>11:10 5.8m</v>
      </c>
      <c r="E44" s="1">
        <f>0.944444444444445+(1/24)</f>
        <v>0.9861111111111116</v>
      </c>
      <c r="F44" s="3">
        <v>5.91</v>
      </c>
    </row>
    <row r="45" spans="1:6" x14ac:dyDescent="0.25">
      <c r="A45" s="2">
        <v>45058</v>
      </c>
      <c r="B45" s="1">
        <f>0.465277777777778+(1/24)</f>
        <v>0.50694444444444464</v>
      </c>
      <c r="C45" s="3">
        <v>5.45</v>
      </c>
      <c r="D45" t="str">
        <f t="shared" si="0"/>
        <v>12:10 5.5m</v>
      </c>
      <c r="E45" s="1">
        <f>0.993055555555555+(1/24)</f>
        <v>1.0347222222222217</v>
      </c>
      <c r="F45" s="3">
        <v>5.67</v>
      </c>
    </row>
    <row r="46" spans="1:6" x14ac:dyDescent="0.25">
      <c r="A46" s="2">
        <v>45059</v>
      </c>
      <c r="B46" s="1">
        <f>0.527777777777778+(1/24)</f>
        <v>0.56944444444444464</v>
      </c>
      <c r="C46" s="3">
        <v>5.3</v>
      </c>
      <c r="D46" t="str">
        <f t="shared" si="0"/>
        <v>13:40 5.3m</v>
      </c>
    </row>
    <row r="47" spans="1:6" x14ac:dyDescent="0.25">
      <c r="A47" s="2">
        <v>45060</v>
      </c>
      <c r="B47" s="1">
        <f>0.583333333333333+(1/24)</f>
        <v>0.62499999999999967</v>
      </c>
      <c r="C47" s="3">
        <v>5.44</v>
      </c>
      <c r="D47" t="str">
        <f t="shared" si="0"/>
        <v>15:00 5.4m</v>
      </c>
    </row>
    <row r="48" spans="1:6" x14ac:dyDescent="0.25">
      <c r="A48" s="2">
        <v>45061</v>
      </c>
      <c r="B48" s="1">
        <f>0.631944444444444+(1/24)</f>
        <v>0.67361111111111061</v>
      </c>
      <c r="C48" s="3">
        <v>5.8</v>
      </c>
      <c r="D48" t="str">
        <f t="shared" si="0"/>
        <v>16:10 5.8m</v>
      </c>
    </row>
    <row r="49" spans="1:6" x14ac:dyDescent="0.25">
      <c r="A49" s="2">
        <v>45062</v>
      </c>
      <c r="B49" s="1">
        <f>0.666666666666667+(1/24)</f>
        <v>0.70833333333333359</v>
      </c>
      <c r="C49" s="3">
        <v>6.15</v>
      </c>
      <c r="D49" t="str">
        <f t="shared" si="0"/>
        <v>17:00 6.2m</v>
      </c>
    </row>
    <row r="50" spans="1:6" x14ac:dyDescent="0.25">
      <c r="A50" s="2">
        <v>45063</v>
      </c>
      <c r="B50" s="1">
        <f>0.701388888888889+(1/24)</f>
        <v>0.74305555555555558</v>
      </c>
      <c r="C50" s="3">
        <v>6.46</v>
      </c>
      <c r="D50" t="str">
        <f t="shared" si="0"/>
        <v>17:50 6.5m</v>
      </c>
    </row>
    <row r="51" spans="1:6" x14ac:dyDescent="0.25">
      <c r="A51" s="2">
        <v>45064</v>
      </c>
      <c r="B51" s="1">
        <f>0.729166666666667+(1/24)</f>
        <v>0.77083333333333359</v>
      </c>
      <c r="C51" s="3">
        <v>6.7</v>
      </c>
      <c r="D51" t="str">
        <f t="shared" si="0"/>
        <v>18:30 6.7m</v>
      </c>
    </row>
    <row r="52" spans="1:6" x14ac:dyDescent="0.25">
      <c r="A52" s="2">
        <v>45065</v>
      </c>
      <c r="B52" s="1">
        <f>0.756944444444445+(1/24)</f>
        <v>0.7986111111111116</v>
      </c>
      <c r="C52" s="3">
        <v>6.81</v>
      </c>
      <c r="D52" t="str">
        <f t="shared" si="0"/>
        <v>19:10 6.8m</v>
      </c>
    </row>
    <row r="53" spans="1:6" x14ac:dyDescent="0.25">
      <c r="A53" s="2">
        <v>45066</v>
      </c>
      <c r="B53" s="1">
        <f>0.263888888888889+(1/24)</f>
        <v>0.30555555555555569</v>
      </c>
      <c r="C53" s="3">
        <v>6.8</v>
      </c>
      <c r="D53" t="str">
        <f t="shared" si="0"/>
        <v>07:20 6.8m</v>
      </c>
      <c r="E53" s="1">
        <f>0.777777777777778+(1/24)</f>
        <v>0.81944444444444464</v>
      </c>
      <c r="F53" s="3">
        <v>6.8</v>
      </c>
    </row>
    <row r="54" spans="1:6" x14ac:dyDescent="0.25">
      <c r="A54" s="2">
        <v>45067</v>
      </c>
      <c r="B54" s="1">
        <f>0.291666666666667+(1/24)</f>
        <v>0.3333333333333337</v>
      </c>
      <c r="C54" s="3">
        <v>6.67</v>
      </c>
      <c r="D54" t="str">
        <f t="shared" si="0"/>
        <v>08:00 6.7m</v>
      </c>
    </row>
    <row r="55" spans="1:6" x14ac:dyDescent="0.25">
      <c r="A55" s="2">
        <v>45068</v>
      </c>
      <c r="B55" s="1">
        <f>0.319444444444444+(1/24)</f>
        <v>0.36111111111111066</v>
      </c>
      <c r="C55" s="3">
        <v>6.44</v>
      </c>
      <c r="D55" t="str">
        <f t="shared" si="0"/>
        <v>08:40 6.4m</v>
      </c>
    </row>
    <row r="56" spans="1:6" x14ac:dyDescent="0.25">
      <c r="A56" s="2">
        <v>45069</v>
      </c>
      <c r="B56" s="1">
        <f>0.340277777777778+(1/24)</f>
        <v>0.3819444444444447</v>
      </c>
      <c r="C56" s="3">
        <v>6.15</v>
      </c>
      <c r="D56" t="str">
        <f t="shared" si="0"/>
        <v>09:10 6.2m</v>
      </c>
      <c r="E56" s="1">
        <f>0.854166666666667+(1/24)</f>
        <v>0.89583333333333359</v>
      </c>
      <c r="F56" s="3">
        <v>6.2</v>
      </c>
    </row>
    <row r="57" spans="1:6" x14ac:dyDescent="0.25">
      <c r="A57" s="2">
        <v>45070</v>
      </c>
      <c r="B57" s="1">
        <f>0.368055555555556+(1/24)</f>
        <v>0.40972222222222271</v>
      </c>
      <c r="C57" s="3">
        <v>5.81</v>
      </c>
      <c r="D57" t="str">
        <f t="shared" si="0"/>
        <v>09:50 5.8m</v>
      </c>
      <c r="E57" s="1">
        <f>0.881944444444445+(1/24)</f>
        <v>0.9236111111111116</v>
      </c>
      <c r="F57" s="3">
        <v>5.89</v>
      </c>
    </row>
    <row r="58" spans="1:6" x14ac:dyDescent="0.25">
      <c r="A58" s="2">
        <v>45071</v>
      </c>
      <c r="B58" s="1">
        <f>0.402777777777778+(1/24)</f>
        <v>0.4444444444444447</v>
      </c>
      <c r="C58" s="3">
        <v>5.46</v>
      </c>
      <c r="D58" t="str">
        <f t="shared" si="0"/>
        <v>10:40 5.5m</v>
      </c>
      <c r="E58" s="1">
        <f>0.916666666666667+(1/24)</f>
        <v>0.95833333333333359</v>
      </c>
      <c r="F58" s="3">
        <v>5.56</v>
      </c>
    </row>
    <row r="59" spans="1:6" x14ac:dyDescent="0.25">
      <c r="A59" s="2">
        <v>45072</v>
      </c>
      <c r="B59" s="1">
        <f>0.430555555555556+(1/24)</f>
        <v>0.47222222222222271</v>
      </c>
      <c r="C59" s="3">
        <v>5.17</v>
      </c>
      <c r="D59" t="str">
        <f t="shared" si="0"/>
        <v>11:20 5.2m</v>
      </c>
      <c r="E59" s="1">
        <f>0.951388888888889+(1/24)</f>
        <v>0.99305555555555558</v>
      </c>
      <c r="F59" s="3">
        <v>5.33</v>
      </c>
    </row>
    <row r="60" spans="1:6" x14ac:dyDescent="0.25">
      <c r="A60" s="2">
        <v>45073</v>
      </c>
      <c r="B60" s="1">
        <f>0.479166666666667+(1/24)</f>
        <v>0.5208333333333337</v>
      </c>
      <c r="C60" s="3">
        <v>4.96</v>
      </c>
      <c r="D60" t="str">
        <f t="shared" si="0"/>
        <v>12:30 5.0m</v>
      </c>
      <c r="E60" s="1">
        <f>0.993055555555555+(1/24)</f>
        <v>1.0347222222222217</v>
      </c>
      <c r="F60" s="3">
        <v>5.17</v>
      </c>
    </row>
    <row r="61" spans="1:6" x14ac:dyDescent="0.25">
      <c r="A61" s="2">
        <v>45074</v>
      </c>
      <c r="B61" s="1">
        <f>0.527777777777778+(1/24)</f>
        <v>0.56944444444444464</v>
      </c>
      <c r="C61" s="3">
        <v>4.8899999999999997</v>
      </c>
      <c r="D61" t="str">
        <f t="shared" si="0"/>
        <v>13:40 4.9m</v>
      </c>
    </row>
    <row r="62" spans="1:6" x14ac:dyDescent="0.25">
      <c r="A62" s="2">
        <v>45075</v>
      </c>
      <c r="B62" s="1">
        <f>0.569444444444444+(1/24)</f>
        <v>0.61111111111111061</v>
      </c>
      <c r="C62" s="3">
        <v>5</v>
      </c>
      <c r="D62" t="str">
        <f t="shared" si="0"/>
        <v>14:40 5.0m</v>
      </c>
    </row>
    <row r="63" spans="1:6" x14ac:dyDescent="0.25">
      <c r="A63" s="2">
        <v>45076</v>
      </c>
      <c r="B63" s="1">
        <f>0.611111111111111+(1/24)</f>
        <v>0.65277777777777768</v>
      </c>
      <c r="C63" s="3">
        <v>5.26</v>
      </c>
      <c r="D63" t="str">
        <f t="shared" si="0"/>
        <v>15:40 5.3m</v>
      </c>
    </row>
    <row r="64" spans="1:6" x14ac:dyDescent="0.25">
      <c r="A64" s="2">
        <v>45077</v>
      </c>
      <c r="B64" s="1">
        <f>0.645833333333333+(1/24)</f>
        <v>0.68749999999999967</v>
      </c>
      <c r="C64" s="3">
        <v>5.62</v>
      </c>
      <c r="D64" t="str">
        <f t="shared" si="0"/>
        <v>16:30 5.6m</v>
      </c>
    </row>
    <row r="65" spans="1:6" x14ac:dyDescent="0.25">
      <c r="A65" s="2">
        <v>45078</v>
      </c>
      <c r="B65" s="1">
        <f>0.680555555555555+(1/24)</f>
        <v>0.72222222222222165</v>
      </c>
      <c r="C65" s="3">
        <v>5.99</v>
      </c>
      <c r="D65" t="str">
        <f t="shared" si="0"/>
        <v>17:20 6.0m</v>
      </c>
    </row>
    <row r="66" spans="1:6" x14ac:dyDescent="0.25">
      <c r="A66" s="2">
        <v>45079</v>
      </c>
      <c r="B66" s="1">
        <f>0.708333333333333+(1/24)</f>
        <v>0.74999999999999967</v>
      </c>
      <c r="C66" s="3">
        <v>6.35</v>
      </c>
      <c r="D66" t="str">
        <f t="shared" si="0"/>
        <v>18:00 6.4m</v>
      </c>
    </row>
    <row r="67" spans="1:6" x14ac:dyDescent="0.25">
      <c r="A67" s="2">
        <v>45080</v>
      </c>
      <c r="B67" s="1">
        <f>0.736111111111111+(1/24)</f>
        <v>0.77777777777777768</v>
      </c>
      <c r="C67" s="3">
        <v>6.67</v>
      </c>
      <c r="D67" t="str">
        <f t="shared" ref="D67:D130" si="1">TEXT(B67,"hh:mm") &amp; " " &amp; TEXT(C67,"0.0") &amp; "m"</f>
        <v>18:40 6.7m</v>
      </c>
    </row>
    <row r="68" spans="1:6" x14ac:dyDescent="0.25">
      <c r="A68" s="2">
        <v>45081</v>
      </c>
      <c r="B68" s="1">
        <f>0.25+(1/24)</f>
        <v>0.29166666666666669</v>
      </c>
      <c r="C68" s="3">
        <v>6.76</v>
      </c>
      <c r="D68" t="str">
        <f t="shared" si="1"/>
        <v>07:00 6.8m</v>
      </c>
      <c r="E68" s="1">
        <f>0.763888888888889+(1/24)</f>
        <v>0.80555555555555558</v>
      </c>
      <c r="F68" s="3">
        <v>6.89</v>
      </c>
    </row>
    <row r="69" spans="1:6" x14ac:dyDescent="0.25">
      <c r="A69" s="2">
        <v>45082</v>
      </c>
      <c r="B69" s="1">
        <f>0.277777777777778+(1/24)</f>
        <v>0.3194444444444447</v>
      </c>
      <c r="C69" s="3">
        <v>6.83</v>
      </c>
      <c r="D69" t="str">
        <f t="shared" si="1"/>
        <v>07:40 6.8m</v>
      </c>
    </row>
    <row r="70" spans="1:6" x14ac:dyDescent="0.25">
      <c r="A70" s="2">
        <v>45083</v>
      </c>
      <c r="B70" s="1">
        <f>0.3125+(1/24)</f>
        <v>0.35416666666666669</v>
      </c>
      <c r="C70" s="3">
        <v>6.77</v>
      </c>
      <c r="D70" t="str">
        <f t="shared" si="1"/>
        <v>08:30 6.8m</v>
      </c>
    </row>
    <row r="71" spans="1:6" x14ac:dyDescent="0.25">
      <c r="A71" s="2">
        <v>45084</v>
      </c>
      <c r="B71" s="1">
        <f>0.347222222222222+(1/24)</f>
        <v>0.38888888888888867</v>
      </c>
      <c r="C71" s="3">
        <v>6.59</v>
      </c>
      <c r="D71" t="str">
        <f t="shared" si="1"/>
        <v>09:20 6.6m</v>
      </c>
      <c r="E71" s="1">
        <f>0.861111111111111+(1/24)</f>
        <v>0.90277777777777768</v>
      </c>
      <c r="F71" s="3">
        <v>6.79</v>
      </c>
    </row>
    <row r="72" spans="1:6" x14ac:dyDescent="0.25">
      <c r="A72" s="2">
        <v>45085</v>
      </c>
      <c r="B72" s="1">
        <f>0.381944444444444+(1/24)</f>
        <v>0.42361111111111066</v>
      </c>
      <c r="C72" s="3">
        <v>6.34</v>
      </c>
      <c r="D72" t="str">
        <f t="shared" si="1"/>
        <v>10:10 6.3m</v>
      </c>
      <c r="E72" s="1">
        <f>0.895833333333333+(1/24)</f>
        <v>0.93749999999999967</v>
      </c>
      <c r="F72" s="3">
        <v>6.56</v>
      </c>
    </row>
    <row r="73" spans="1:6" x14ac:dyDescent="0.25">
      <c r="A73" s="2">
        <v>45086</v>
      </c>
      <c r="B73" s="1">
        <f>0.416666666666667+(1/24)</f>
        <v>0.4583333333333337</v>
      </c>
      <c r="C73" s="3">
        <v>6.03</v>
      </c>
      <c r="D73" t="str">
        <f t="shared" si="1"/>
        <v>11:00 6.0m</v>
      </c>
      <c r="E73" s="1">
        <f>0.9375+(1/24)</f>
        <v>0.97916666666666663</v>
      </c>
      <c r="F73" s="3">
        <v>6.27</v>
      </c>
    </row>
    <row r="74" spans="1:6" x14ac:dyDescent="0.25">
      <c r="A74" s="2">
        <v>45087</v>
      </c>
      <c r="B74" s="1">
        <f>0.465277777777778+(1/24)</f>
        <v>0.50694444444444464</v>
      </c>
      <c r="C74" s="3">
        <v>5.77</v>
      </c>
      <c r="D74" t="str">
        <f t="shared" si="1"/>
        <v>12:10 5.8m</v>
      </c>
      <c r="E74" s="1">
        <f>0.986111111111111+(1/24)</f>
        <v>1.0277777777777777</v>
      </c>
      <c r="F74" s="3">
        <v>6.03</v>
      </c>
    </row>
    <row r="75" spans="1:6" x14ac:dyDescent="0.25">
      <c r="A75" s="2">
        <v>45088</v>
      </c>
      <c r="B75" s="1">
        <f>0.513888888888889+(1/24)</f>
        <v>0.55555555555555558</v>
      </c>
      <c r="C75" s="3">
        <v>5.6</v>
      </c>
      <c r="D75" t="str">
        <f t="shared" si="1"/>
        <v>13:20 5.6m</v>
      </c>
    </row>
    <row r="76" spans="1:6" x14ac:dyDescent="0.25">
      <c r="A76" s="2">
        <v>45089</v>
      </c>
      <c r="B76" s="1">
        <f>0.5625+(1/24)</f>
        <v>0.60416666666666663</v>
      </c>
      <c r="C76" s="3">
        <v>5.58</v>
      </c>
      <c r="D76" t="str">
        <f t="shared" si="1"/>
        <v>14:30 5.6m</v>
      </c>
    </row>
    <row r="77" spans="1:6" x14ac:dyDescent="0.25">
      <c r="A77" s="2">
        <v>45090</v>
      </c>
      <c r="B77" s="1">
        <f>0.604166666666667+(1/24)</f>
        <v>0.64583333333333359</v>
      </c>
      <c r="C77" s="3">
        <v>5.69</v>
      </c>
      <c r="D77" t="str">
        <f t="shared" si="1"/>
        <v>15:30 5.7m</v>
      </c>
    </row>
    <row r="78" spans="1:6" x14ac:dyDescent="0.25">
      <c r="A78" s="2">
        <v>45091</v>
      </c>
      <c r="B78" s="1">
        <f>0.645833333333333+(1/24)</f>
        <v>0.68749999999999967</v>
      </c>
      <c r="C78" s="3">
        <v>5.86</v>
      </c>
      <c r="D78" t="str">
        <f t="shared" si="1"/>
        <v>16:30 5.9m</v>
      </c>
    </row>
    <row r="79" spans="1:6" x14ac:dyDescent="0.25">
      <c r="A79" s="2">
        <v>45092</v>
      </c>
      <c r="B79" s="1">
        <f>0.680555555555555+(1/24)</f>
        <v>0.72222222222222165</v>
      </c>
      <c r="C79" s="3">
        <v>6.07</v>
      </c>
      <c r="D79" t="str">
        <f t="shared" si="1"/>
        <v>17:20 6.1m</v>
      </c>
    </row>
    <row r="80" spans="1:6" x14ac:dyDescent="0.25">
      <c r="A80" s="2">
        <v>45093</v>
      </c>
      <c r="B80" s="1">
        <f>0.708333333333333+(1/24)</f>
        <v>0.74999999999999967</v>
      </c>
      <c r="C80" s="3">
        <v>6.22</v>
      </c>
      <c r="D80" t="str">
        <f t="shared" si="1"/>
        <v>18:00 6.2m</v>
      </c>
    </row>
    <row r="81" spans="1:6" x14ac:dyDescent="0.25">
      <c r="A81" s="2">
        <v>45094</v>
      </c>
      <c r="B81" s="1">
        <f>0.743055555555555+(1/24)</f>
        <v>0.78472222222222165</v>
      </c>
      <c r="C81" s="3">
        <v>6.35</v>
      </c>
      <c r="D81" t="str">
        <f t="shared" si="1"/>
        <v>18:50 6.4m</v>
      </c>
    </row>
    <row r="82" spans="1:6" x14ac:dyDescent="0.25">
      <c r="A82" s="2">
        <v>45095</v>
      </c>
      <c r="B82" s="1">
        <f>0.25+(1/24)</f>
        <v>0.29166666666666669</v>
      </c>
      <c r="C82" s="3">
        <v>6.29</v>
      </c>
      <c r="D82" t="str">
        <f t="shared" si="1"/>
        <v>07:00 6.3m</v>
      </c>
      <c r="E82" s="1">
        <f>0.763888888888889+(1/24)</f>
        <v>0.80555555555555558</v>
      </c>
      <c r="F82" s="3">
        <v>6.41</v>
      </c>
    </row>
    <row r="83" spans="1:6" x14ac:dyDescent="0.25">
      <c r="A83" s="2">
        <v>45096</v>
      </c>
      <c r="B83" s="1">
        <f>0.277777777777778+(1/24)</f>
        <v>0.3194444444444447</v>
      </c>
      <c r="C83" s="3">
        <v>6.27</v>
      </c>
      <c r="D83" t="str">
        <f t="shared" si="1"/>
        <v>07:40 6.3m</v>
      </c>
    </row>
    <row r="84" spans="1:6" x14ac:dyDescent="0.25">
      <c r="A84" s="2">
        <v>45097</v>
      </c>
      <c r="B84" s="1">
        <f>0.305555555555556+(1/24)</f>
        <v>0.34722222222222271</v>
      </c>
      <c r="C84" s="3">
        <v>6.2</v>
      </c>
      <c r="D84" t="str">
        <f t="shared" si="1"/>
        <v>08:20 6.2m</v>
      </c>
    </row>
    <row r="85" spans="1:6" x14ac:dyDescent="0.25">
      <c r="A85" s="2">
        <v>45098</v>
      </c>
      <c r="B85" s="1">
        <f>0.333333333333333+(1/24)</f>
        <v>0.37499999999999967</v>
      </c>
      <c r="C85" s="3">
        <v>6.08</v>
      </c>
      <c r="D85" t="str">
        <f t="shared" si="1"/>
        <v>09:00 6.1m</v>
      </c>
      <c r="E85" s="1">
        <f>0.847222222222222+(1/24)</f>
        <v>0.88888888888888862</v>
      </c>
      <c r="F85" s="3">
        <v>6.26</v>
      </c>
    </row>
    <row r="86" spans="1:6" x14ac:dyDescent="0.25">
      <c r="A86" s="2">
        <v>45099</v>
      </c>
      <c r="B86" s="1">
        <f>0.361111111111111+(1/24)</f>
        <v>0.40277777777777768</v>
      </c>
      <c r="C86" s="3">
        <v>5.91</v>
      </c>
      <c r="D86" t="str">
        <f t="shared" si="1"/>
        <v>09:40 5.9m</v>
      </c>
      <c r="E86" s="1">
        <f>0.868055555555555+(1/24)</f>
        <v>0.90972222222222165</v>
      </c>
      <c r="F86" s="3">
        <v>6.11</v>
      </c>
    </row>
    <row r="87" spans="1:6" x14ac:dyDescent="0.25">
      <c r="A87" s="2">
        <v>45100</v>
      </c>
      <c r="B87" s="1">
        <f>0.388888888888889+(1/24)</f>
        <v>0.43055555555555569</v>
      </c>
      <c r="C87" s="3">
        <v>5.72</v>
      </c>
      <c r="D87" t="str">
        <f t="shared" si="1"/>
        <v>10:20 5.7m</v>
      </c>
      <c r="E87" s="1">
        <f>0.895833333333333+(1/24)</f>
        <v>0.93749999999999967</v>
      </c>
      <c r="F87" s="3">
        <v>5.92</v>
      </c>
    </row>
    <row r="88" spans="1:6" x14ac:dyDescent="0.25">
      <c r="A88" s="2">
        <v>45101</v>
      </c>
      <c r="B88" s="1">
        <f>0.416666666666667+(1/24)</f>
        <v>0.4583333333333337</v>
      </c>
      <c r="C88" s="3">
        <v>5.52</v>
      </c>
      <c r="D88" t="str">
        <f t="shared" si="1"/>
        <v>11:00 5.5m</v>
      </c>
      <c r="E88" s="1">
        <f>0.930555555555555+(1/24)</f>
        <v>0.97222222222222165</v>
      </c>
      <c r="F88" s="3">
        <v>5.72</v>
      </c>
    </row>
    <row r="89" spans="1:6" x14ac:dyDescent="0.25">
      <c r="A89" s="2">
        <v>45102</v>
      </c>
      <c r="B89" s="1">
        <f>0.444444444444444+(1/24)</f>
        <v>0.48611111111111066</v>
      </c>
      <c r="C89" s="3">
        <v>5.33</v>
      </c>
      <c r="D89" t="str">
        <f t="shared" si="1"/>
        <v>11:40 5.3m</v>
      </c>
      <c r="E89" s="1">
        <f>0.965277777777778+(1/24)</f>
        <v>1.0069444444444446</v>
      </c>
      <c r="F89" s="3">
        <v>5.55</v>
      </c>
    </row>
    <row r="90" spans="1:6" x14ac:dyDescent="0.25">
      <c r="A90" s="2">
        <v>45103</v>
      </c>
      <c r="B90" s="1">
        <f>0.479166666666667+(1/24)</f>
        <v>0.5208333333333337</v>
      </c>
      <c r="C90" s="3">
        <v>5.21</v>
      </c>
      <c r="D90" t="str">
        <f t="shared" si="1"/>
        <v>12:30 5.2m</v>
      </c>
    </row>
    <row r="91" spans="1:6" x14ac:dyDescent="0.25">
      <c r="A91" s="2">
        <v>45104</v>
      </c>
      <c r="B91" s="1">
        <f>0.520833333333333+(1/24)</f>
        <v>0.56249999999999967</v>
      </c>
      <c r="C91" s="3">
        <v>5.16</v>
      </c>
      <c r="D91" t="str">
        <f t="shared" si="1"/>
        <v>13:30 5.2m</v>
      </c>
    </row>
    <row r="92" spans="1:6" x14ac:dyDescent="0.25">
      <c r="A92" s="2">
        <v>45105</v>
      </c>
      <c r="B92" s="1">
        <f>0.5625+(1/24)</f>
        <v>0.60416666666666663</v>
      </c>
      <c r="C92" s="3">
        <v>5.24</v>
      </c>
      <c r="D92" t="str">
        <f t="shared" si="1"/>
        <v>14:30 5.2m</v>
      </c>
    </row>
    <row r="93" spans="1:6" x14ac:dyDescent="0.25">
      <c r="A93" s="2">
        <v>45106</v>
      </c>
      <c r="B93" s="1">
        <f>0.611111111111111+(1/24)</f>
        <v>0.65277777777777768</v>
      </c>
      <c r="C93" s="3">
        <v>5.46</v>
      </c>
      <c r="D93" t="str">
        <f t="shared" si="1"/>
        <v>15:40 5.5m</v>
      </c>
    </row>
    <row r="94" spans="1:6" x14ac:dyDescent="0.25">
      <c r="A94" s="2">
        <v>45107</v>
      </c>
      <c r="B94" s="1">
        <f>0.652777777777778+(1/24)</f>
        <v>0.69444444444444464</v>
      </c>
      <c r="C94" s="3">
        <v>5.77</v>
      </c>
      <c r="D94" t="str">
        <f t="shared" si="1"/>
        <v>16:40 5.8m</v>
      </c>
    </row>
    <row r="95" spans="1:6" x14ac:dyDescent="0.25">
      <c r="A95" s="2">
        <v>45108</v>
      </c>
      <c r="B95" s="1">
        <f>0.6875+(1/24)</f>
        <v>0.72916666666666663</v>
      </c>
      <c r="C95" s="3">
        <v>6.05</v>
      </c>
      <c r="D95" t="str">
        <f t="shared" si="1"/>
        <v>17:30 6.1m</v>
      </c>
    </row>
    <row r="96" spans="1:6" x14ac:dyDescent="0.25">
      <c r="A96" s="2">
        <v>45109</v>
      </c>
      <c r="B96" s="1">
        <f>0.722222222222222+(1/24)</f>
        <v>0.76388888888888862</v>
      </c>
      <c r="C96" s="3">
        <v>6.42</v>
      </c>
      <c r="D96" t="str">
        <f t="shared" si="1"/>
        <v>18:20 6.4m</v>
      </c>
    </row>
    <row r="97" spans="1:6" x14ac:dyDescent="0.25">
      <c r="A97" s="2">
        <v>45110</v>
      </c>
      <c r="B97" s="1">
        <f>0.756944444444445+(1/24)</f>
        <v>0.7986111111111116</v>
      </c>
      <c r="C97" s="3">
        <v>6.77</v>
      </c>
      <c r="D97" t="str">
        <f t="shared" si="1"/>
        <v>19:10 6.8m</v>
      </c>
    </row>
    <row r="98" spans="1:6" x14ac:dyDescent="0.25">
      <c r="A98" s="2">
        <v>45111</v>
      </c>
      <c r="B98" s="1">
        <f>0.270833333333333+(1/24)</f>
        <v>0.31249999999999967</v>
      </c>
      <c r="C98" s="3">
        <v>6.67</v>
      </c>
      <c r="D98" t="str">
        <f t="shared" si="1"/>
        <v>07:30 6.7m</v>
      </c>
      <c r="E98" s="1">
        <f>0.784722222222222+(1/24)</f>
        <v>0.82638888888888862</v>
      </c>
      <c r="F98" s="3">
        <v>7</v>
      </c>
    </row>
    <row r="99" spans="1:6" x14ac:dyDescent="0.25">
      <c r="A99" s="2">
        <v>45112</v>
      </c>
      <c r="B99" s="1">
        <f>0.305555555555556+(1/24)</f>
        <v>0.34722222222222271</v>
      </c>
      <c r="C99" s="3">
        <v>6.76</v>
      </c>
      <c r="D99" t="str">
        <f t="shared" si="1"/>
        <v>08:20 6.8m</v>
      </c>
    </row>
    <row r="100" spans="1:6" x14ac:dyDescent="0.25">
      <c r="A100" s="2">
        <v>45113</v>
      </c>
      <c r="B100" s="1">
        <f>0.340277777777778+(1/24)</f>
        <v>0.3819444444444447</v>
      </c>
      <c r="C100" s="3">
        <v>6.73</v>
      </c>
      <c r="D100" t="str">
        <f t="shared" si="1"/>
        <v>09:10 6.7m</v>
      </c>
      <c r="E100" s="1">
        <f>0.854166666666667+(1/24)</f>
        <v>0.89583333333333359</v>
      </c>
      <c r="F100" s="3">
        <v>7.05</v>
      </c>
    </row>
    <row r="101" spans="1:6" x14ac:dyDescent="0.25">
      <c r="A101" s="2">
        <v>45114</v>
      </c>
      <c r="B101" s="1">
        <f>0.375+(1/24)</f>
        <v>0.41666666666666669</v>
      </c>
      <c r="C101" s="3">
        <v>6.58</v>
      </c>
      <c r="D101" t="str">
        <f t="shared" si="1"/>
        <v>10:00 6.6m</v>
      </c>
      <c r="E101" s="1">
        <f>0.888888888888889+(1/24)</f>
        <v>0.93055555555555558</v>
      </c>
      <c r="F101" s="3">
        <v>6.86</v>
      </c>
    </row>
    <row r="102" spans="1:6" x14ac:dyDescent="0.25">
      <c r="A102" s="2">
        <v>45115</v>
      </c>
      <c r="B102" s="1">
        <f>0.409722222222222+(1/24)</f>
        <v>0.45138888888888867</v>
      </c>
      <c r="C102" s="3">
        <v>6.34</v>
      </c>
      <c r="D102" t="str">
        <f t="shared" si="1"/>
        <v>10:50 6.3m</v>
      </c>
      <c r="E102" s="1">
        <f>0.923611111111111+(1/24)</f>
        <v>0.96527777777777768</v>
      </c>
      <c r="F102" s="3">
        <v>6.57</v>
      </c>
    </row>
    <row r="103" spans="1:6" x14ac:dyDescent="0.25">
      <c r="A103" s="2">
        <v>45116</v>
      </c>
      <c r="B103" s="1">
        <f>0.444444444444444+(1/24)</f>
        <v>0.48611111111111066</v>
      </c>
      <c r="C103" s="3">
        <v>6.02</v>
      </c>
      <c r="D103" t="str">
        <f t="shared" si="1"/>
        <v>11:40 6.0m</v>
      </c>
      <c r="E103" s="1">
        <f>0.965277777777778+(1/24)</f>
        <v>1.0069444444444446</v>
      </c>
      <c r="F103" s="3">
        <v>6.19</v>
      </c>
    </row>
    <row r="104" spans="1:6" x14ac:dyDescent="0.25">
      <c r="A104" s="2">
        <v>45117</v>
      </c>
      <c r="B104" s="1">
        <f>0.486111111111111+(1/24)</f>
        <v>0.52777777777777768</v>
      </c>
      <c r="C104" s="3">
        <v>5.72</v>
      </c>
      <c r="D104" t="str">
        <f t="shared" si="1"/>
        <v>12:40 5.7m</v>
      </c>
    </row>
    <row r="105" spans="1:6" x14ac:dyDescent="0.25">
      <c r="A105" s="2">
        <v>45118</v>
      </c>
      <c r="B105" s="1">
        <f>0.527777777777778+(1/24)</f>
        <v>0.56944444444444464</v>
      </c>
      <c r="C105" s="3">
        <v>5.48</v>
      </c>
      <c r="D105" t="str">
        <f t="shared" si="1"/>
        <v>13:40 5.5m</v>
      </c>
    </row>
    <row r="106" spans="1:6" x14ac:dyDescent="0.25">
      <c r="A106" s="2">
        <v>45119</v>
      </c>
      <c r="B106" s="1">
        <f>0.583333333333333+(1/24)</f>
        <v>0.62499999999999967</v>
      </c>
      <c r="C106" s="3">
        <v>5.35</v>
      </c>
      <c r="D106" t="str">
        <f t="shared" si="1"/>
        <v>15:00 5.4m</v>
      </c>
    </row>
    <row r="107" spans="1:6" x14ac:dyDescent="0.25">
      <c r="A107" s="2">
        <v>45120</v>
      </c>
      <c r="B107" s="1">
        <f>0.625+(1/24)</f>
        <v>0.66666666666666663</v>
      </c>
      <c r="C107" s="3">
        <v>5.37</v>
      </c>
      <c r="D107" t="str">
        <f t="shared" si="1"/>
        <v>16:00 5.4m</v>
      </c>
    </row>
    <row r="108" spans="1:6" x14ac:dyDescent="0.25">
      <c r="A108" s="2">
        <v>45121</v>
      </c>
      <c r="B108" s="1">
        <f>0.666666666666667+(1/24)</f>
        <v>0.70833333333333359</v>
      </c>
      <c r="C108" s="3">
        <v>5.5</v>
      </c>
      <c r="D108" t="str">
        <f t="shared" si="1"/>
        <v>17:00 5.5m</v>
      </c>
    </row>
    <row r="109" spans="1:6" x14ac:dyDescent="0.25">
      <c r="A109" s="2">
        <v>45122</v>
      </c>
      <c r="B109" s="1">
        <f>0.701388888888889+(1/24)</f>
        <v>0.74305555555555558</v>
      </c>
      <c r="C109" s="3">
        <v>5.7</v>
      </c>
      <c r="D109" t="str">
        <f t="shared" si="1"/>
        <v>17:50 5.7m</v>
      </c>
    </row>
    <row r="110" spans="1:6" x14ac:dyDescent="0.25">
      <c r="A110" s="2">
        <v>45123</v>
      </c>
      <c r="B110" s="1">
        <f>0.729166666666667+(1/24)</f>
        <v>0.77083333333333359</v>
      </c>
      <c r="C110" s="3">
        <v>5.89</v>
      </c>
      <c r="D110" t="str">
        <f t="shared" si="1"/>
        <v>18:30 5.9m</v>
      </c>
    </row>
    <row r="111" spans="1:6" x14ac:dyDescent="0.25">
      <c r="A111" s="2">
        <v>45124</v>
      </c>
      <c r="B111" s="1">
        <f>0.756944444444445+(1/24)</f>
        <v>0.7986111111111116</v>
      </c>
      <c r="C111" s="3">
        <v>6.1</v>
      </c>
      <c r="D111" t="str">
        <f t="shared" si="1"/>
        <v>19:10 6.1m</v>
      </c>
    </row>
    <row r="112" spans="1:6" x14ac:dyDescent="0.25">
      <c r="A112" s="2">
        <v>45125</v>
      </c>
      <c r="B112" s="1">
        <f>0.270833333333333+(1/24)</f>
        <v>0.31249999999999967</v>
      </c>
      <c r="C112" s="3">
        <v>5.98</v>
      </c>
      <c r="D112" t="str">
        <f t="shared" si="1"/>
        <v>07:30 6.0m</v>
      </c>
      <c r="E112" s="1">
        <f>0.784722222222222+(1/24)</f>
        <v>0.82638888888888862</v>
      </c>
      <c r="F112" s="3">
        <v>6.26</v>
      </c>
    </row>
    <row r="113" spans="1:6" x14ac:dyDescent="0.25">
      <c r="A113" s="2">
        <v>45126</v>
      </c>
      <c r="B113" s="1">
        <f>0.298611111111111+(1/24)</f>
        <v>0.34027777777777768</v>
      </c>
      <c r="C113" s="3">
        <v>6.08</v>
      </c>
      <c r="D113" t="str">
        <f t="shared" si="1"/>
        <v>08:10 6.1m</v>
      </c>
    </row>
    <row r="114" spans="1:6" x14ac:dyDescent="0.25">
      <c r="A114" s="2">
        <v>45127</v>
      </c>
      <c r="B114" s="1">
        <f>0.319444444444444+(1/24)</f>
        <v>0.36111111111111066</v>
      </c>
      <c r="C114" s="3">
        <v>6.1</v>
      </c>
      <c r="D114" t="str">
        <f t="shared" si="1"/>
        <v>08:40 6.1m</v>
      </c>
      <c r="E114" s="1">
        <f>0.833333333333333+(1/24)</f>
        <v>0.87499999999999967</v>
      </c>
      <c r="F114" s="3">
        <v>6.38</v>
      </c>
    </row>
    <row r="115" spans="1:6" x14ac:dyDescent="0.25">
      <c r="A115" s="2">
        <v>45128</v>
      </c>
      <c r="B115" s="1">
        <f>0.347222222222222+(1/24)</f>
        <v>0.38888888888888867</v>
      </c>
      <c r="C115" s="3">
        <v>6.07</v>
      </c>
      <c r="D115" t="str">
        <f t="shared" si="1"/>
        <v>09:20 6.1m</v>
      </c>
      <c r="E115" s="1">
        <f>0.854166666666667+(1/24)</f>
        <v>0.89583333333333359</v>
      </c>
      <c r="F115" s="3">
        <v>6.33</v>
      </c>
    </row>
    <row r="116" spans="1:6" x14ac:dyDescent="0.25">
      <c r="A116" s="2">
        <v>45129</v>
      </c>
      <c r="B116" s="1">
        <f>0.368055555555556+(1/24)</f>
        <v>0.40972222222222271</v>
      </c>
      <c r="C116" s="3">
        <v>5.97</v>
      </c>
      <c r="D116" t="str">
        <f t="shared" si="1"/>
        <v>09:50 6.0m</v>
      </c>
      <c r="E116" s="1">
        <f>0.881944444444445+(1/24)</f>
        <v>0.9236111111111116</v>
      </c>
      <c r="F116" s="3">
        <v>6.2</v>
      </c>
    </row>
    <row r="117" spans="1:6" x14ac:dyDescent="0.25">
      <c r="A117" s="2">
        <v>45130</v>
      </c>
      <c r="B117" s="1">
        <f>0.388888888888889+(1/24)</f>
        <v>0.43055555555555569</v>
      </c>
      <c r="C117" s="3">
        <v>5.81</v>
      </c>
      <c r="D117" t="str">
        <f t="shared" si="1"/>
        <v>10:20 5.8m</v>
      </c>
      <c r="E117" s="1">
        <f>0.902777777777778+(1/24)</f>
        <v>0.94444444444444464</v>
      </c>
      <c r="F117" s="3">
        <v>6.02</v>
      </c>
    </row>
    <row r="118" spans="1:6" x14ac:dyDescent="0.25">
      <c r="A118" s="2">
        <v>45131</v>
      </c>
      <c r="B118" s="1">
        <f>0.416666666666667+(1/24)</f>
        <v>0.4583333333333337</v>
      </c>
      <c r="C118" s="3">
        <v>5.65</v>
      </c>
      <c r="D118" t="str">
        <f t="shared" si="1"/>
        <v>11:00 5.7m</v>
      </c>
      <c r="E118" s="1">
        <f>0.930555555555555+(1/24)</f>
        <v>0.97222222222222165</v>
      </c>
      <c r="F118" s="3">
        <v>5.82</v>
      </c>
    </row>
    <row r="119" spans="1:6" x14ac:dyDescent="0.25">
      <c r="A119" s="2">
        <v>45132</v>
      </c>
      <c r="B119" s="1">
        <f>0.444444444444444+(1/24)</f>
        <v>0.48611111111111066</v>
      </c>
      <c r="C119" s="3">
        <v>5.46</v>
      </c>
      <c r="D119" t="str">
        <f t="shared" si="1"/>
        <v>11:40 5.5m</v>
      </c>
      <c r="E119" s="1">
        <f>0.958333333333333+(1/24)</f>
        <v>0.99999999999999967</v>
      </c>
      <c r="F119" s="3">
        <v>5.6</v>
      </c>
    </row>
    <row r="120" spans="1:6" x14ac:dyDescent="0.25">
      <c r="A120" s="2">
        <v>45133</v>
      </c>
      <c r="B120" s="1">
        <f>0.479166666666667+(1/24)</f>
        <v>0.5208333333333337</v>
      </c>
      <c r="C120" s="3">
        <v>5.28</v>
      </c>
      <c r="D120" t="str">
        <f t="shared" si="1"/>
        <v>12:30 5.3m</v>
      </c>
    </row>
    <row r="121" spans="1:6" x14ac:dyDescent="0.25">
      <c r="A121" s="2">
        <v>45134</v>
      </c>
      <c r="B121" s="1">
        <f>0.520833333333333+(1/24)</f>
        <v>0.56249999999999967</v>
      </c>
      <c r="C121" s="3">
        <v>5.17</v>
      </c>
      <c r="D121" t="str">
        <f t="shared" si="1"/>
        <v>13:30 5.2m</v>
      </c>
    </row>
    <row r="122" spans="1:6" x14ac:dyDescent="0.25">
      <c r="A122" s="2">
        <v>45135</v>
      </c>
      <c r="B122" s="1">
        <f>0.576388888888889+(1/24)</f>
        <v>0.61805555555555558</v>
      </c>
      <c r="C122" s="3">
        <v>5.2</v>
      </c>
      <c r="D122" t="str">
        <f t="shared" si="1"/>
        <v>14:50 5.2m</v>
      </c>
    </row>
    <row r="123" spans="1:6" x14ac:dyDescent="0.25">
      <c r="A123" s="2">
        <v>45136</v>
      </c>
      <c r="B123" s="1">
        <f>0.625+(1/24)</f>
        <v>0.66666666666666663</v>
      </c>
      <c r="C123" s="3">
        <v>5.46</v>
      </c>
      <c r="D123" t="str">
        <f t="shared" si="1"/>
        <v>16:00 5.5m</v>
      </c>
    </row>
    <row r="124" spans="1:6" x14ac:dyDescent="0.25">
      <c r="A124" s="2">
        <v>45137</v>
      </c>
      <c r="B124" s="1">
        <f>0.673611111111111+(1/24)</f>
        <v>0.71527777777777768</v>
      </c>
      <c r="C124" s="3">
        <v>5.89</v>
      </c>
      <c r="D124" t="str">
        <f t="shared" si="1"/>
        <v>17:10 5.9m</v>
      </c>
    </row>
    <row r="125" spans="1:6" x14ac:dyDescent="0.25">
      <c r="A125" s="2">
        <v>45138</v>
      </c>
      <c r="B125" s="1">
        <f>0.708333333333333+(1/24)</f>
        <v>0.74999999999999967</v>
      </c>
      <c r="C125" s="3">
        <v>6.39</v>
      </c>
      <c r="D125" t="str">
        <f t="shared" si="1"/>
        <v>18:00 6.4m</v>
      </c>
    </row>
    <row r="126" spans="1:6" x14ac:dyDescent="0.25">
      <c r="A126" s="2">
        <v>45139</v>
      </c>
      <c r="B126" s="1">
        <f>0.75+(1/24)</f>
        <v>0.79166666666666663</v>
      </c>
      <c r="C126" s="3">
        <v>6.89</v>
      </c>
      <c r="D126" t="str">
        <f t="shared" si="1"/>
        <v>19:00 6.9m</v>
      </c>
    </row>
    <row r="127" spans="1:6" x14ac:dyDescent="0.25">
      <c r="A127" s="2">
        <v>45140</v>
      </c>
      <c r="B127" s="1">
        <f>0.263888888888889+(1/24)</f>
        <v>0.30555555555555569</v>
      </c>
      <c r="C127" s="3">
        <v>6.77</v>
      </c>
      <c r="D127" t="str">
        <f t="shared" si="1"/>
        <v>07:20 6.8m</v>
      </c>
      <c r="E127" s="1">
        <f>0.777777777777778+(1/24)</f>
        <v>0.81944444444444464</v>
      </c>
      <c r="F127" s="3">
        <v>7.25</v>
      </c>
    </row>
    <row r="128" spans="1:6" x14ac:dyDescent="0.25">
      <c r="A128" s="2">
        <v>45141</v>
      </c>
      <c r="B128" s="1">
        <f>0.298611111111111+(1/24)</f>
        <v>0.34027777777777768</v>
      </c>
      <c r="C128" s="3">
        <v>7.02</v>
      </c>
      <c r="D128" t="str">
        <f t="shared" si="1"/>
        <v>08:10 7.0m</v>
      </c>
    </row>
    <row r="129" spans="1:6" x14ac:dyDescent="0.25">
      <c r="A129" s="2">
        <v>45142</v>
      </c>
      <c r="B129" s="1">
        <f>0.333333333333333+(1/24)</f>
        <v>0.37499999999999967</v>
      </c>
      <c r="C129" s="3">
        <v>7.08</v>
      </c>
      <c r="D129" t="str">
        <f t="shared" si="1"/>
        <v>09:00 7.1m</v>
      </c>
      <c r="E129" s="1">
        <f>0.847222222222222+(1/24)</f>
        <v>0.88888888888888862</v>
      </c>
      <c r="F129" s="3">
        <v>7.43</v>
      </c>
    </row>
    <row r="130" spans="1:6" x14ac:dyDescent="0.25">
      <c r="A130" s="2">
        <v>45143</v>
      </c>
      <c r="B130" s="1">
        <f>0.361111111111111+(1/24)</f>
        <v>0.40277777777777768</v>
      </c>
      <c r="C130" s="3">
        <v>6.97</v>
      </c>
      <c r="D130" t="str">
        <f t="shared" si="1"/>
        <v>09:40 7.0m</v>
      </c>
      <c r="E130" s="1">
        <f>0.875+(1/24)</f>
        <v>0.91666666666666663</v>
      </c>
      <c r="F130" s="3">
        <v>7.21</v>
      </c>
    </row>
    <row r="131" spans="1:6" x14ac:dyDescent="0.25">
      <c r="A131" s="2">
        <v>45144</v>
      </c>
      <c r="B131" s="1">
        <f>0.388888888888889+(1/24)</f>
        <v>0.43055555555555569</v>
      </c>
      <c r="C131" s="3">
        <v>6.69</v>
      </c>
      <c r="D131" t="str">
        <f t="shared" ref="D131:D186" si="2">TEXT(B131,"hh:mm") &amp; " " &amp; TEXT(C131,"0.0") &amp; "m"</f>
        <v>10:20 6.7m</v>
      </c>
      <c r="E131" s="1">
        <f>0.909722222222222+(1/24)</f>
        <v>0.95138888888888862</v>
      </c>
      <c r="F131" s="3">
        <v>6.8</v>
      </c>
    </row>
    <row r="132" spans="1:6" x14ac:dyDescent="0.25">
      <c r="A132" s="2">
        <v>45145</v>
      </c>
      <c r="B132" s="1">
        <f>0.423611111111111+(1/24)</f>
        <v>0.46527777777777768</v>
      </c>
      <c r="C132" s="3">
        <v>6.27</v>
      </c>
      <c r="D132" t="str">
        <f t="shared" si="2"/>
        <v>11:10 6.3m</v>
      </c>
      <c r="E132" s="1">
        <f>0.944444444444445+(1/24)</f>
        <v>0.9861111111111116</v>
      </c>
      <c r="F132" s="3">
        <v>6.26</v>
      </c>
    </row>
    <row r="133" spans="1:6" x14ac:dyDescent="0.25">
      <c r="A133" s="2">
        <v>45146</v>
      </c>
      <c r="B133" s="1">
        <f>0.458333333333333+(1/24)</f>
        <v>0.49999999999999967</v>
      </c>
      <c r="C133" s="3">
        <v>5.83</v>
      </c>
      <c r="D133" t="str">
        <f t="shared" si="2"/>
        <v>12:00 5.8m</v>
      </c>
      <c r="E133" s="1">
        <f>0.979166666666667+(1/24)</f>
        <v>1.0208333333333337</v>
      </c>
      <c r="F133" s="3">
        <v>5.75</v>
      </c>
    </row>
    <row r="134" spans="1:6" x14ac:dyDescent="0.25">
      <c r="A134" s="2">
        <v>45147</v>
      </c>
      <c r="B134" s="1">
        <f>0.5+(1/24)</f>
        <v>0.54166666666666663</v>
      </c>
      <c r="C134" s="3">
        <v>5.38</v>
      </c>
      <c r="D134" t="str">
        <f t="shared" si="2"/>
        <v>13:00 5.4m</v>
      </c>
    </row>
    <row r="135" spans="1:6" x14ac:dyDescent="0.25">
      <c r="A135" s="2">
        <v>45148</v>
      </c>
      <c r="B135" s="1">
        <f>0.548611111111111+(1/24)</f>
        <v>0.59027777777777768</v>
      </c>
      <c r="C135" s="3">
        <v>5.07</v>
      </c>
      <c r="D135" t="str">
        <f t="shared" si="2"/>
        <v>14:10 5.1m</v>
      </c>
    </row>
    <row r="136" spans="1:6" x14ac:dyDescent="0.25">
      <c r="A136" s="2">
        <v>45149</v>
      </c>
      <c r="B136" s="1">
        <f>0.604166666666667+(1/24)</f>
        <v>0.64583333333333359</v>
      </c>
      <c r="C136" s="3">
        <v>4.9800000000000004</v>
      </c>
      <c r="D136" t="str">
        <f t="shared" si="2"/>
        <v>15:30 5.0m</v>
      </c>
    </row>
    <row r="137" spans="1:6" x14ac:dyDescent="0.25">
      <c r="A137" s="2">
        <v>45150</v>
      </c>
      <c r="B137" s="1">
        <f>0.652777777777778+(1/24)</f>
        <v>0.69444444444444464</v>
      </c>
      <c r="C137" s="3">
        <v>5.13</v>
      </c>
      <c r="D137" t="str">
        <f t="shared" si="2"/>
        <v>16:40 5.1m</v>
      </c>
    </row>
    <row r="138" spans="1:6" x14ac:dyDescent="0.25">
      <c r="A138" s="2">
        <v>45151</v>
      </c>
      <c r="B138" s="1">
        <f>0.694444444444445+(1/24)</f>
        <v>0.7361111111111116</v>
      </c>
      <c r="C138" s="3">
        <v>5.41</v>
      </c>
      <c r="D138" t="str">
        <f t="shared" si="2"/>
        <v>17:40 5.4m</v>
      </c>
    </row>
    <row r="139" spans="1:6" x14ac:dyDescent="0.25">
      <c r="A139" s="2">
        <v>45152</v>
      </c>
      <c r="B139" s="1">
        <f>0.722222222222222+(1/24)</f>
        <v>0.76388888888888862</v>
      </c>
      <c r="C139" s="3">
        <v>5.77</v>
      </c>
      <c r="D139" t="str">
        <f t="shared" si="2"/>
        <v>18:20 5.8m</v>
      </c>
    </row>
    <row r="140" spans="1:6" x14ac:dyDescent="0.25">
      <c r="A140" s="2">
        <v>45153</v>
      </c>
      <c r="B140" s="1">
        <f>0.75+(1/24)</f>
        <v>0.79166666666666663</v>
      </c>
      <c r="C140" s="3">
        <v>6.06</v>
      </c>
      <c r="D140" t="str">
        <f t="shared" si="2"/>
        <v>19:00 6.1m</v>
      </c>
    </row>
    <row r="141" spans="1:6" x14ac:dyDescent="0.25">
      <c r="A141" s="2">
        <v>45154</v>
      </c>
      <c r="B141" s="1">
        <f>0.263888888888889+(1/24)</f>
        <v>0.30555555555555569</v>
      </c>
      <c r="C141" s="3">
        <v>6.01</v>
      </c>
      <c r="D141" t="str">
        <f t="shared" si="2"/>
        <v>07:20 6.0m</v>
      </c>
      <c r="E141" s="1">
        <f>0.770833333333333+(1/24)</f>
        <v>0.81249999999999967</v>
      </c>
      <c r="F141" s="3">
        <v>6.35</v>
      </c>
    </row>
    <row r="142" spans="1:6" x14ac:dyDescent="0.25">
      <c r="A142" s="2">
        <v>45155</v>
      </c>
      <c r="B142" s="1">
        <f>0.284722222222222+(1/24)</f>
        <v>0.32638888888888867</v>
      </c>
      <c r="C142" s="3">
        <v>6.23</v>
      </c>
      <c r="D142" t="str">
        <f t="shared" si="2"/>
        <v>07:50 6.2m</v>
      </c>
    </row>
    <row r="143" spans="1:6" x14ac:dyDescent="0.25">
      <c r="A143" s="2">
        <v>45156</v>
      </c>
      <c r="B143" s="1">
        <f>0.305555555555556+(1/24)</f>
        <v>0.34722222222222271</v>
      </c>
      <c r="C143" s="3">
        <v>6.35</v>
      </c>
      <c r="D143" t="str">
        <f t="shared" si="2"/>
        <v>08:20 6.4m</v>
      </c>
    </row>
    <row r="144" spans="1:6" x14ac:dyDescent="0.25">
      <c r="A144" s="2">
        <v>45157</v>
      </c>
      <c r="B144" s="1">
        <f>0.326388888888889+(1/24)</f>
        <v>0.36805555555555569</v>
      </c>
      <c r="C144" s="3">
        <v>6.39</v>
      </c>
      <c r="D144" t="str">
        <f t="shared" si="2"/>
        <v>08:50 6.4m</v>
      </c>
      <c r="E144" s="1">
        <f>0.840277777777778+(1/24)</f>
        <v>0.88194444444444464</v>
      </c>
      <c r="F144" s="3">
        <v>6.63</v>
      </c>
    </row>
    <row r="145" spans="1:6" x14ac:dyDescent="0.25">
      <c r="A145" s="2">
        <v>45158</v>
      </c>
      <c r="B145" s="1">
        <f>0.347222222222222+(1/24)</f>
        <v>0.38888888888888867</v>
      </c>
      <c r="C145" s="3">
        <v>6.33</v>
      </c>
      <c r="D145" t="str">
        <f t="shared" si="2"/>
        <v>09:20 6.3m</v>
      </c>
      <c r="E145" s="1">
        <f>0.854166666666667+(1/24)</f>
        <v>0.89583333333333359</v>
      </c>
      <c r="F145" s="3">
        <v>6.52</v>
      </c>
    </row>
    <row r="146" spans="1:6" x14ac:dyDescent="0.25">
      <c r="A146" s="2">
        <v>45159</v>
      </c>
      <c r="B146" s="1">
        <f>0.368055555555556+(1/24)</f>
        <v>0.40972222222222271</v>
      </c>
      <c r="C146" s="3">
        <v>6.19</v>
      </c>
      <c r="D146" t="str">
        <f t="shared" si="2"/>
        <v>09:50 6.2m</v>
      </c>
      <c r="E146" s="1">
        <f>0.881944444444445+(1/24)</f>
        <v>0.9236111111111116</v>
      </c>
      <c r="F146" s="3">
        <v>6.33</v>
      </c>
    </row>
    <row r="147" spans="1:6" x14ac:dyDescent="0.25">
      <c r="A147" s="2">
        <v>45160</v>
      </c>
      <c r="B147" s="1">
        <f>0.388888888888889+(1/24)</f>
        <v>0.43055555555555569</v>
      </c>
      <c r="C147" s="3">
        <v>6.01</v>
      </c>
      <c r="D147" t="str">
        <f t="shared" si="2"/>
        <v>10:20 6.0m</v>
      </c>
      <c r="E147" s="1">
        <f>0.902777777777778+(1/24)</f>
        <v>0.94444444444444464</v>
      </c>
      <c r="F147" s="3">
        <v>6.09</v>
      </c>
    </row>
    <row r="148" spans="1:6" x14ac:dyDescent="0.25">
      <c r="A148" s="2">
        <v>45161</v>
      </c>
      <c r="B148" s="1">
        <f>0.416666666666667+(1/24)</f>
        <v>0.4583333333333337</v>
      </c>
      <c r="C148" s="3">
        <v>5.72</v>
      </c>
      <c r="D148" t="str">
        <f t="shared" si="2"/>
        <v>11:00 5.7m</v>
      </c>
      <c r="E148" s="1">
        <f>0.930555555555555+(1/24)</f>
        <v>0.97222222222222165</v>
      </c>
      <c r="F148" s="3">
        <v>5.71</v>
      </c>
    </row>
    <row r="149" spans="1:6" x14ac:dyDescent="0.25">
      <c r="A149" s="2">
        <v>45162</v>
      </c>
      <c r="B149" s="1">
        <f>0.444444444444444+(1/24)</f>
        <v>0.48611111111111066</v>
      </c>
      <c r="C149" s="3">
        <v>5.47</v>
      </c>
      <c r="D149" t="str">
        <f t="shared" si="2"/>
        <v>11:40 5.5m</v>
      </c>
      <c r="E149" s="1">
        <f>0.965277777777778+(1/24)</f>
        <v>1.0069444444444446</v>
      </c>
      <c r="F149" s="3">
        <v>5.42</v>
      </c>
    </row>
    <row r="150" spans="1:6" x14ac:dyDescent="0.25">
      <c r="A150" s="2">
        <v>45163</v>
      </c>
      <c r="B150" s="1">
        <f>0.493055555555556+(1/24)</f>
        <v>0.53472222222222265</v>
      </c>
      <c r="C150" s="3">
        <v>5.18</v>
      </c>
      <c r="D150" t="str">
        <f t="shared" si="2"/>
        <v>12:50 5.2m</v>
      </c>
    </row>
    <row r="151" spans="1:6" x14ac:dyDescent="0.25">
      <c r="A151" s="2">
        <v>45164</v>
      </c>
      <c r="B151" s="1">
        <f>0.548611111111111+(1/24)</f>
        <v>0.59027777777777768</v>
      </c>
      <c r="C151" s="3">
        <v>5.09</v>
      </c>
      <c r="D151" t="str">
        <f t="shared" si="2"/>
        <v>14:10 5.1m</v>
      </c>
    </row>
    <row r="152" spans="1:6" x14ac:dyDescent="0.25">
      <c r="A152" s="2">
        <v>45165</v>
      </c>
      <c r="B152" s="1">
        <f>0.611111111111111+(1/24)</f>
        <v>0.65277777777777768</v>
      </c>
      <c r="C152" s="3">
        <v>5.34</v>
      </c>
      <c r="D152" t="str">
        <f t="shared" si="2"/>
        <v>15:40 5.3m</v>
      </c>
    </row>
    <row r="153" spans="1:6" x14ac:dyDescent="0.25">
      <c r="A153" s="2">
        <v>45166</v>
      </c>
      <c r="B153" s="1">
        <f>0.666666666666667+(1/24)</f>
        <v>0.70833333333333359</v>
      </c>
      <c r="C153" s="3">
        <v>5.85</v>
      </c>
      <c r="D153" t="str">
        <f t="shared" si="2"/>
        <v>17:00 5.9m</v>
      </c>
    </row>
    <row r="154" spans="1:6" x14ac:dyDescent="0.25">
      <c r="A154" s="2">
        <v>45167</v>
      </c>
      <c r="B154" s="1">
        <f>0.708333333333333+(1/24)</f>
        <v>0.74999999999999967</v>
      </c>
      <c r="C154" s="3">
        <v>6.5</v>
      </c>
      <c r="D154" t="str">
        <f t="shared" si="2"/>
        <v>18:00 6.5m</v>
      </c>
    </row>
    <row r="155" spans="1:6" x14ac:dyDescent="0.25">
      <c r="A155" s="2">
        <v>45168</v>
      </c>
      <c r="B155" s="1">
        <f>0.736111111111111+(1/24)</f>
        <v>0.77777777777777768</v>
      </c>
      <c r="C155" s="3">
        <v>7.07</v>
      </c>
      <c r="D155" t="str">
        <f t="shared" si="2"/>
        <v>18:40 7.1m</v>
      </c>
    </row>
    <row r="156" spans="1:6" x14ac:dyDescent="0.25">
      <c r="A156" s="2">
        <v>45169</v>
      </c>
      <c r="B156" s="1">
        <f>0.256944444444444+(1/24)</f>
        <v>0.29861111111111066</v>
      </c>
      <c r="C156" s="3">
        <v>6.97</v>
      </c>
      <c r="D156" t="str">
        <f t="shared" si="2"/>
        <v>07:10 7.0m</v>
      </c>
      <c r="E156" s="1">
        <f>0.770833333333333+(1/24)</f>
        <v>0.81249999999999967</v>
      </c>
      <c r="F156" s="3">
        <v>7.49</v>
      </c>
    </row>
    <row r="157" spans="1:6" x14ac:dyDescent="0.25">
      <c r="A157" s="2">
        <v>45170</v>
      </c>
      <c r="B157" s="1">
        <f>0.284722222222222+(1/24)</f>
        <v>0.32638888888888867</v>
      </c>
      <c r="C157" s="3">
        <v>7.38</v>
      </c>
      <c r="D157" t="str">
        <f t="shared" si="2"/>
        <v>07:50 7.4m</v>
      </c>
    </row>
    <row r="158" spans="1:6" x14ac:dyDescent="0.25">
      <c r="A158" s="2">
        <v>45171</v>
      </c>
      <c r="B158" s="1">
        <f>0.3125+(1/24)</f>
        <v>0.35416666666666669</v>
      </c>
      <c r="C158" s="3">
        <v>7.46</v>
      </c>
      <c r="D158" t="str">
        <f t="shared" si="2"/>
        <v>08:30 7.5m</v>
      </c>
    </row>
    <row r="159" spans="1:6" x14ac:dyDescent="0.25">
      <c r="A159" s="2">
        <v>45172</v>
      </c>
      <c r="B159" s="1">
        <f>0.340277777777778+(1/24)</f>
        <v>0.3819444444444447</v>
      </c>
      <c r="C159" s="3">
        <v>7.31</v>
      </c>
      <c r="D159" t="str">
        <f t="shared" si="2"/>
        <v>09:10 7.3m</v>
      </c>
      <c r="E159" s="1">
        <f>0.854166666666667+(1/24)</f>
        <v>0.89583333333333359</v>
      </c>
      <c r="F159" s="3">
        <v>7.41</v>
      </c>
    </row>
    <row r="160" spans="1:6" x14ac:dyDescent="0.25">
      <c r="A160" s="2">
        <v>45173</v>
      </c>
      <c r="B160" s="1">
        <f>0.368055555555556+(1/24)</f>
        <v>0.40972222222222271</v>
      </c>
      <c r="C160" s="3">
        <v>6.98</v>
      </c>
      <c r="D160" t="str">
        <f t="shared" si="2"/>
        <v>09:50 7.0m</v>
      </c>
      <c r="E160" s="1">
        <f>0.881944444444445+(1/24)</f>
        <v>0.9236111111111116</v>
      </c>
      <c r="F160" s="3">
        <v>6.94</v>
      </c>
    </row>
    <row r="161" spans="1:6" x14ac:dyDescent="0.25">
      <c r="A161" s="2">
        <v>45174</v>
      </c>
      <c r="B161" s="1">
        <f>0.402777777777778+(1/24)</f>
        <v>0.4444444444444447</v>
      </c>
      <c r="C161" s="3">
        <v>6.47</v>
      </c>
      <c r="D161" t="str">
        <f t="shared" si="2"/>
        <v>10:40 6.5m</v>
      </c>
      <c r="E161" s="1">
        <f>0.916666666666667+(1/24)</f>
        <v>0.95833333333333359</v>
      </c>
      <c r="F161" s="3">
        <v>6.29</v>
      </c>
    </row>
    <row r="162" spans="1:6" x14ac:dyDescent="0.25">
      <c r="A162" s="2">
        <v>45175</v>
      </c>
      <c r="B162" s="1">
        <f>0.430555555555556+(1/24)</f>
        <v>0.47222222222222271</v>
      </c>
      <c r="C162" s="3">
        <v>5.93</v>
      </c>
      <c r="D162" t="str">
        <f t="shared" si="2"/>
        <v>11:20 5.9m</v>
      </c>
      <c r="E162" s="1">
        <f>0.951388888888889+(1/24)</f>
        <v>0.99305555555555558</v>
      </c>
      <c r="F162" s="3">
        <v>5.67</v>
      </c>
    </row>
    <row r="163" spans="1:6" x14ac:dyDescent="0.25">
      <c r="A163" s="2">
        <v>45176</v>
      </c>
      <c r="B163" s="1">
        <f>0.465277777777778+(1/24)</f>
        <v>0.50694444444444464</v>
      </c>
      <c r="C163" s="3">
        <v>5.36</v>
      </c>
      <c r="D163" t="str">
        <f t="shared" si="2"/>
        <v>12:10 5.4m</v>
      </c>
      <c r="E163" s="1">
        <f>0.993055555555555+(1/24)</f>
        <v>1.0347222222222217</v>
      </c>
      <c r="F163" s="3">
        <v>5.07</v>
      </c>
    </row>
    <row r="164" spans="1:6" x14ac:dyDescent="0.25">
      <c r="A164" s="2">
        <v>45177</v>
      </c>
      <c r="B164" s="1">
        <f>0.513888888888889+(1/24)</f>
        <v>0.55555555555555558</v>
      </c>
      <c r="C164" s="3">
        <v>4.9400000000000004</v>
      </c>
      <c r="D164" t="str">
        <f t="shared" si="2"/>
        <v>13:20 4.9m</v>
      </c>
    </row>
    <row r="165" spans="1:6" x14ac:dyDescent="0.25">
      <c r="A165" s="2">
        <v>45178</v>
      </c>
      <c r="B165" s="1">
        <f>0.590277777777778+(1/24)</f>
        <v>0.63194444444444464</v>
      </c>
      <c r="C165" s="3">
        <v>4.82</v>
      </c>
      <c r="D165" t="str">
        <f t="shared" si="2"/>
        <v>15:10 4.8m</v>
      </c>
    </row>
    <row r="166" spans="1:6" x14ac:dyDescent="0.25">
      <c r="A166" s="2">
        <v>45179</v>
      </c>
      <c r="B166" s="1">
        <f>0.645833333333333+(1/24)</f>
        <v>0.68749999999999967</v>
      </c>
      <c r="C166" s="3">
        <v>5.03</v>
      </c>
      <c r="D166" t="str">
        <f t="shared" si="2"/>
        <v>16:30 5.0m</v>
      </c>
    </row>
    <row r="167" spans="1:6" x14ac:dyDescent="0.25">
      <c r="A167" s="2">
        <v>45180</v>
      </c>
      <c r="B167" s="1">
        <f>0.680555555555555+(1/24)</f>
        <v>0.72222222222222165</v>
      </c>
      <c r="C167" s="3">
        <v>5.45</v>
      </c>
      <c r="D167" t="str">
        <f t="shared" si="2"/>
        <v>17:20 5.5m</v>
      </c>
    </row>
    <row r="168" spans="1:6" x14ac:dyDescent="0.25">
      <c r="A168" s="2">
        <v>45181</v>
      </c>
      <c r="B168" s="1">
        <f>0.708333333333333+(1/24)</f>
        <v>0.74999999999999967</v>
      </c>
      <c r="C168" s="3">
        <v>5.85</v>
      </c>
      <c r="D168" t="str">
        <f t="shared" si="2"/>
        <v>18:00 5.9m</v>
      </c>
    </row>
    <row r="169" spans="1:6" x14ac:dyDescent="0.25">
      <c r="A169" s="2">
        <v>45182</v>
      </c>
      <c r="B169" s="1">
        <f>0.736111111111111+(1/24)</f>
        <v>0.77777777777777768</v>
      </c>
      <c r="C169" s="3">
        <v>6.25</v>
      </c>
      <c r="D169" t="str">
        <f t="shared" si="2"/>
        <v>18:40 6.3m</v>
      </c>
    </row>
    <row r="170" spans="1:6" x14ac:dyDescent="0.25">
      <c r="A170" s="2">
        <v>45183</v>
      </c>
      <c r="B170" s="1">
        <f>0.756944444444445+(1/24)</f>
        <v>0.7986111111111116</v>
      </c>
      <c r="C170" s="3">
        <v>6.59</v>
      </c>
      <c r="D170" t="str">
        <f t="shared" si="2"/>
        <v>19:10 6.6m</v>
      </c>
    </row>
    <row r="171" spans="1:6" x14ac:dyDescent="0.25">
      <c r="A171" s="2">
        <v>45184</v>
      </c>
      <c r="B171" s="1">
        <f>0.263888888888889+(1/24)</f>
        <v>0.30555555555555569</v>
      </c>
      <c r="C171" s="3">
        <v>6.49</v>
      </c>
      <c r="D171" t="str">
        <f t="shared" si="2"/>
        <v>07:20 6.5m</v>
      </c>
      <c r="E171" s="1">
        <f>0.777777777777778+(1/24)</f>
        <v>0.81944444444444464</v>
      </c>
      <c r="F171" s="3">
        <v>6.81</v>
      </c>
    </row>
    <row r="172" spans="1:6" x14ac:dyDescent="0.25">
      <c r="A172" s="2">
        <v>45185</v>
      </c>
      <c r="B172" s="1">
        <f>0.284722222222222+(1/24)</f>
        <v>0.32638888888888867</v>
      </c>
      <c r="C172" s="3">
        <v>6.67</v>
      </c>
      <c r="D172" t="str">
        <f t="shared" si="2"/>
        <v>07:50 6.7m</v>
      </c>
    </row>
    <row r="173" spans="1:6" x14ac:dyDescent="0.25">
      <c r="A173" s="2">
        <v>45186</v>
      </c>
      <c r="B173" s="1">
        <f>0.305555555555556+(1/24)</f>
        <v>0.34722222222222271</v>
      </c>
      <c r="C173" s="3">
        <v>6.74</v>
      </c>
      <c r="D173" t="str">
        <f t="shared" si="2"/>
        <v>08:20 6.7m</v>
      </c>
    </row>
    <row r="174" spans="1:6" x14ac:dyDescent="0.25">
      <c r="A174" s="2">
        <v>45187</v>
      </c>
      <c r="B174" s="1">
        <f>0.326388888888889+(1/24)</f>
        <v>0.36805555555555569</v>
      </c>
      <c r="C174" s="3">
        <v>6.7</v>
      </c>
      <c r="D174" t="str">
        <f t="shared" si="2"/>
        <v>08:50 6.7m</v>
      </c>
      <c r="E174" s="1">
        <f>0.833333333333333+(1/24)</f>
        <v>0.87499999999999967</v>
      </c>
      <c r="F174" s="3">
        <v>6.8</v>
      </c>
    </row>
    <row r="175" spans="1:6" x14ac:dyDescent="0.25">
      <c r="A175" s="2">
        <v>45188</v>
      </c>
      <c r="B175" s="1">
        <f>0.347222222222222+(1/24)</f>
        <v>0.38888888888888867</v>
      </c>
      <c r="C175" s="3">
        <v>6.58</v>
      </c>
      <c r="D175" t="str">
        <f t="shared" si="2"/>
        <v>09:20 6.6m</v>
      </c>
      <c r="E175" s="1">
        <f>0.854166666666667+(1/24)</f>
        <v>0.89583333333333359</v>
      </c>
      <c r="F175" s="3">
        <v>6.6</v>
      </c>
    </row>
    <row r="176" spans="1:6" x14ac:dyDescent="0.25">
      <c r="A176" s="2">
        <v>45189</v>
      </c>
      <c r="B176" s="1">
        <f>0.368055555555556+(1/24)</f>
        <v>0.40972222222222271</v>
      </c>
      <c r="C176" s="3">
        <v>6.33</v>
      </c>
      <c r="D176" t="str">
        <f t="shared" si="2"/>
        <v>09:50 6.3m</v>
      </c>
      <c r="E176" s="1">
        <f>0.881944444444445+(1/24)</f>
        <v>0.9236111111111116</v>
      </c>
      <c r="F176" s="3">
        <v>6.23</v>
      </c>
    </row>
    <row r="177" spans="1:6" x14ac:dyDescent="0.25">
      <c r="A177" s="2">
        <v>45190</v>
      </c>
      <c r="B177" s="1">
        <f>0.395833333333333+(1/24)</f>
        <v>0.43749999999999967</v>
      </c>
      <c r="C177" s="3">
        <v>6.04</v>
      </c>
      <c r="D177" t="str">
        <f t="shared" si="2"/>
        <v>10:30 6.0m</v>
      </c>
      <c r="E177" s="1">
        <f>0.909722222222222+(1/24)</f>
        <v>0.95138888888888862</v>
      </c>
      <c r="F177" s="3">
        <v>5.86</v>
      </c>
    </row>
    <row r="178" spans="1:6" x14ac:dyDescent="0.25">
      <c r="A178" s="2">
        <v>45191</v>
      </c>
      <c r="B178" s="1">
        <f>0.423611111111111+(1/24)</f>
        <v>0.46527777777777768</v>
      </c>
      <c r="C178" s="3">
        <v>5.64</v>
      </c>
      <c r="D178" t="str">
        <f t="shared" si="2"/>
        <v>11:10 5.6m</v>
      </c>
      <c r="E178" s="1">
        <f>0.951388888888889+(1/24)</f>
        <v>0.99305555555555558</v>
      </c>
      <c r="F178" s="3">
        <v>5.37</v>
      </c>
    </row>
    <row r="179" spans="1:6" x14ac:dyDescent="0.25">
      <c r="A179" s="2">
        <v>45192</v>
      </c>
      <c r="B179" s="1">
        <f>0.472222222222222+(1/24)</f>
        <v>0.51388888888888862</v>
      </c>
      <c r="C179" s="3">
        <v>5.32</v>
      </c>
      <c r="D179" t="str">
        <f t="shared" si="2"/>
        <v>12:20 5.3m</v>
      </c>
    </row>
    <row r="180" spans="1:6" x14ac:dyDescent="0.25">
      <c r="A180" s="2">
        <v>45193</v>
      </c>
      <c r="B180" s="1">
        <f>0.541666666666667+(1/24)</f>
        <v>0.58333333333333359</v>
      </c>
      <c r="C180" s="3">
        <v>5.17</v>
      </c>
      <c r="D180" t="str">
        <f t="shared" si="2"/>
        <v>14:00 5.2m</v>
      </c>
    </row>
    <row r="181" spans="1:6" x14ac:dyDescent="0.25">
      <c r="A181" s="2">
        <v>45194</v>
      </c>
      <c r="B181" s="1">
        <f>0.604166666666667+(1/24)</f>
        <v>0.64583333333333359</v>
      </c>
      <c r="C181" s="3">
        <v>5.47</v>
      </c>
      <c r="D181" t="str">
        <f t="shared" si="2"/>
        <v>15:30 5.5m</v>
      </c>
    </row>
    <row r="182" spans="1:6" x14ac:dyDescent="0.25">
      <c r="A182" s="2">
        <v>45195</v>
      </c>
      <c r="B182" s="1">
        <f>0.659722222222222+(1/24)</f>
        <v>0.70138888888888862</v>
      </c>
      <c r="C182" s="3">
        <v>6.09</v>
      </c>
      <c r="D182" t="str">
        <f t="shared" si="2"/>
        <v>16:50 6.1m</v>
      </c>
    </row>
    <row r="183" spans="1:6" x14ac:dyDescent="0.25">
      <c r="A183" s="2">
        <v>45196</v>
      </c>
      <c r="B183" s="1">
        <f>0.694444444444445+(1/24)</f>
        <v>0.7361111111111116</v>
      </c>
      <c r="C183" s="3">
        <v>6.74</v>
      </c>
      <c r="D183" t="str">
        <f t="shared" si="2"/>
        <v>17:40 6.7m</v>
      </c>
    </row>
    <row r="184" spans="1:6" x14ac:dyDescent="0.25">
      <c r="A184" s="2">
        <v>45197</v>
      </c>
      <c r="B184" s="1">
        <f>0.722222222222222+(1/24)</f>
        <v>0.76388888888888862</v>
      </c>
      <c r="C184" s="3">
        <v>7.26</v>
      </c>
      <c r="D184" t="str">
        <f t="shared" si="2"/>
        <v>18:20 7.3m</v>
      </c>
    </row>
    <row r="185" spans="1:6" x14ac:dyDescent="0.25">
      <c r="A185" s="2">
        <v>45198</v>
      </c>
      <c r="B185" s="1">
        <f>0.756944444444445+(1/24)</f>
        <v>0.7986111111111116</v>
      </c>
      <c r="C185" s="3">
        <v>7.65</v>
      </c>
      <c r="D185" t="str">
        <f t="shared" si="2"/>
        <v>19:10 7.7m</v>
      </c>
    </row>
    <row r="186" spans="1:6" x14ac:dyDescent="0.25">
      <c r="A186" s="2">
        <v>45199</v>
      </c>
      <c r="B186" s="1">
        <f>0.270833333333333+(1/24)</f>
        <v>0.31249999999999967</v>
      </c>
      <c r="C186" s="3">
        <v>7.48</v>
      </c>
      <c r="D186" t="str">
        <f t="shared" si="2"/>
        <v>07:30 7.5m</v>
      </c>
      <c r="E186" s="1">
        <f>0.784722222222222+(1/24)</f>
        <v>0.82638888888888862</v>
      </c>
      <c r="F186" s="3">
        <v>7.76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</vt:lpstr>
      <vt:lpstr>Tides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Blake Shaw</cp:lastModifiedBy>
  <cp:lastPrinted>2022-11-03T14:37:25Z</cp:lastPrinted>
  <dcterms:created xsi:type="dcterms:W3CDTF">2022-10-29T13:44:44Z</dcterms:created>
  <dcterms:modified xsi:type="dcterms:W3CDTF">2023-04-28T17:40:45Z</dcterms:modified>
</cp:coreProperties>
</file>